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10230" activeTab="0"/>
  </bookViews>
  <sheets>
    <sheet name="Projection" sheetId="1" r:id="rId1"/>
  </sheets>
  <definedNames>
    <definedName name="eur">15.64664</definedName>
    <definedName name="kd">#REF!</definedName>
    <definedName name="omt">#REF!</definedName>
    <definedName name="Prindiala" localSheetId="0">'Projection'!$B$1:$W$79</definedName>
    <definedName name="Re">#REF!</definedName>
    <definedName name="t">#REF!</definedName>
    <definedName name="T_Eq">#REF!</definedName>
    <definedName name="WACC">#REF!</definedName>
  </definedNames>
  <calcPr fullCalcOnLoad="1"/>
</workbook>
</file>

<file path=xl/sharedStrings.xml><?xml version="1.0" encoding="utf-8"?>
<sst xmlns="http://schemas.openxmlformats.org/spreadsheetml/2006/main" count="84" uniqueCount="80">
  <si>
    <t>Total Installed Capacity (MW)</t>
  </si>
  <si>
    <t>No.of turbines</t>
  </si>
  <si>
    <t>Capacity of one turbine (MW)</t>
  </si>
  <si>
    <t>Investment</t>
  </si>
  <si>
    <t>th €</t>
  </si>
  <si>
    <t>th €/MW</t>
  </si>
  <si>
    <t>Energy Price until 2020 (Cents/kWh)</t>
  </si>
  <si>
    <t>Yearly Net Production (MWh/y)</t>
  </si>
  <si>
    <t>Average usage of capacity</t>
  </si>
  <si>
    <t>Economically Useful Lifetime (years)</t>
  </si>
  <si>
    <t>Depreciation (yearly)</t>
  </si>
  <si>
    <t>Insurance cost</t>
  </si>
  <si>
    <t>Total Investment</t>
  </si>
  <si>
    <t>Land rental (%of sales)</t>
  </si>
  <si>
    <t>Irredeemable Aid</t>
  </si>
  <si>
    <t>Net Investment</t>
  </si>
  <si>
    <t>Equity Capital</t>
  </si>
  <si>
    <t>Average DSCR</t>
  </si>
  <si>
    <t>Debt Capital</t>
  </si>
  <si>
    <t>Total inv.</t>
  </si>
  <si>
    <t>Repayment Term of the Debt (years)</t>
  </si>
  <si>
    <t>Interest Rate of Debt Capital</t>
  </si>
  <si>
    <t>Revenues</t>
  </si>
  <si>
    <t>(th EUR)</t>
  </si>
  <si>
    <t>Tariff of Green Energy (cents per kWH)</t>
  </si>
  <si>
    <t>Sales of electrical Power</t>
  </si>
  <si>
    <t>Emission Reduction Income</t>
  </si>
  <si>
    <t>Terminal value</t>
  </si>
  <si>
    <t>Total Income</t>
  </si>
  <si>
    <t>S&amp;M costs</t>
  </si>
  <si>
    <t>Insurance Costs</t>
  </si>
  <si>
    <t>Administrative costs</t>
  </si>
  <si>
    <t>Own consumption and reactive energy</t>
  </si>
  <si>
    <t>Land rental</t>
  </si>
  <si>
    <t>General maintenance</t>
  </si>
  <si>
    <t>Unexpected costs</t>
  </si>
  <si>
    <t>EBITDA</t>
  </si>
  <si>
    <t>Depreciation</t>
  </si>
  <si>
    <t>Financial Costs</t>
  </si>
  <si>
    <t>Income Before Taxes (EBT)</t>
  </si>
  <si>
    <t>Income Tax</t>
  </si>
  <si>
    <t>Net Income</t>
  </si>
  <si>
    <t>Debt Financing:</t>
  </si>
  <si>
    <t>Loan Amount</t>
  </si>
  <si>
    <t>Outstanding Principal at the Beginning of Year</t>
  </si>
  <si>
    <t>Total Loan Payment</t>
  </si>
  <si>
    <t>Interest Payment</t>
  </si>
  <si>
    <t>Capital Repayment</t>
  </si>
  <si>
    <t>Outstanding Principal at the End of Year</t>
  </si>
  <si>
    <t>Debt Service Ratio (DSCR)</t>
  </si>
  <si>
    <t>Cash Flow:</t>
  </si>
  <si>
    <t>Yearly Cash Flow</t>
  </si>
  <si>
    <t>Cumulative Cash Flow (Before Dividends)</t>
  </si>
  <si>
    <t>Shareholder transactions</t>
  </si>
  <si>
    <t>Equity placing / Divided payment</t>
  </si>
  <si>
    <t>Effective tax rate</t>
  </si>
  <si>
    <t>Income tax</t>
  </si>
  <si>
    <t>Cash after dividend payment</t>
  </si>
  <si>
    <t>Check</t>
  </si>
  <si>
    <t>IRR for shareholder</t>
  </si>
  <si>
    <t>average</t>
  </si>
  <si>
    <t>ROE</t>
  </si>
  <si>
    <t>ROA</t>
  </si>
  <si>
    <t>4e Success Fee</t>
  </si>
  <si>
    <t>Figures given in EUR thousands</t>
  </si>
  <si>
    <t>Other</t>
  </si>
  <si>
    <t>Insurance</t>
  </si>
  <si>
    <t>Consultancy</t>
  </si>
  <si>
    <t>Management</t>
  </si>
  <si>
    <t>El &amp; Communications</t>
  </si>
  <si>
    <t>Wind Turbines</t>
  </si>
  <si>
    <t>Civil Works</t>
  </si>
  <si>
    <t>Development</t>
  </si>
  <si>
    <t>Land</t>
  </si>
  <si>
    <t>Mockiai Wind Park - Financial Projection</t>
  </si>
  <si>
    <t>Energy Price After 2021</t>
  </si>
  <si>
    <t>IRR of the equity investment</t>
  </si>
  <si>
    <t>IRR of the project</t>
  </si>
  <si>
    <t>Yearly Increase of S&amp;M costs</t>
  </si>
  <si>
    <t xml:space="preserve">S&amp;M per MWh produced 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</si>
</sst>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&quot;(discount rate &quot;##%&quot;)&quot;"/>
    <numFmt numFmtId="175" formatCode="&quot;(+&quot;#%&quot;)&quot;"/>
    <numFmt numFmtId="176" formatCode="&quot;(-&quot;#%&quot;)&quot;"/>
    <numFmt numFmtId="177" formatCode="0.000%"/>
    <numFmt numFmtId="178" formatCode="0.0000"/>
    <numFmt numFmtId="179" formatCode="0.00000"/>
    <numFmt numFmtId="180" formatCode="0.000000"/>
    <numFmt numFmtId="181" formatCode="0.0000000"/>
    <numFmt numFmtId="182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Garamond"/>
      <family val="1"/>
    </font>
    <font>
      <b/>
      <sz val="18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5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right"/>
      <protection/>
    </xf>
    <xf numFmtId="172" fontId="4" fillId="0" borderId="0" xfId="55" applyNumberFormat="1" applyFont="1" applyFill="1" applyBorder="1" applyAlignment="1">
      <alignment horizontal="right"/>
      <protection/>
    </xf>
    <xf numFmtId="0" fontId="2" fillId="0" borderId="0" xfId="55" applyFont="1" applyFill="1" applyBorder="1" applyAlignment="1">
      <alignment horizontal="right"/>
      <protection/>
    </xf>
    <xf numFmtId="0" fontId="6" fillId="0" borderId="10" xfId="55" applyFont="1" applyFill="1" applyBorder="1">
      <alignment/>
      <protection/>
    </xf>
    <xf numFmtId="0" fontId="4" fillId="0" borderId="10" xfId="55" applyFont="1" applyFill="1" applyBorder="1">
      <alignment/>
      <protection/>
    </xf>
    <xf numFmtId="0" fontId="6" fillId="0" borderId="10" xfId="55" applyFont="1" applyFill="1" applyBorder="1" applyAlignment="1">
      <alignment/>
      <protection/>
    </xf>
    <xf numFmtId="3" fontId="4" fillId="0" borderId="0" xfId="55" applyNumberFormat="1" applyFont="1" applyFill="1" applyBorder="1">
      <alignment/>
      <protection/>
    </xf>
    <xf numFmtId="172" fontId="4" fillId="0" borderId="0" xfId="55" applyNumberFormat="1" applyFont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172" fontId="4" fillId="0" borderId="0" xfId="58" applyNumberFormat="1" applyFont="1" applyBorder="1" applyAlignment="1">
      <alignment/>
    </xf>
    <xf numFmtId="0" fontId="4" fillId="0" borderId="0" xfId="55" applyFont="1" applyFill="1" applyBorder="1" applyAlignment="1">
      <alignment horizontal="left" wrapText="1"/>
      <protection/>
    </xf>
    <xf numFmtId="3" fontId="4" fillId="0" borderId="0" xfId="55" applyNumberFormat="1" applyFont="1" applyFill="1" applyBorder="1" applyAlignment="1">
      <alignment horizontal="right"/>
      <protection/>
    </xf>
    <xf numFmtId="172" fontId="4" fillId="0" borderId="0" xfId="55" applyNumberFormat="1" applyFont="1" applyFill="1" applyBorder="1">
      <alignment/>
      <protection/>
    </xf>
    <xf numFmtId="3" fontId="4" fillId="0" borderId="0" xfId="55" applyNumberFormat="1" applyFont="1">
      <alignment/>
      <protection/>
    </xf>
    <xf numFmtId="9" fontId="4" fillId="0" borderId="0" xfId="55" applyNumberFormat="1" applyFont="1" applyFill="1" applyBorder="1">
      <alignment/>
      <protection/>
    </xf>
    <xf numFmtId="173" fontId="4" fillId="0" borderId="0" xfId="58" applyNumberFormat="1" applyFont="1" applyFill="1" applyBorder="1" applyAlignment="1">
      <alignment/>
    </xf>
    <xf numFmtId="9" fontId="4" fillId="0" borderId="0" xfId="58" applyFont="1" applyFill="1" applyBorder="1" applyAlignment="1">
      <alignment horizontal="right"/>
    </xf>
    <xf numFmtId="173" fontId="4" fillId="0" borderId="0" xfId="55" applyNumberFormat="1" applyFont="1" applyFill="1" applyBorder="1">
      <alignment/>
      <protection/>
    </xf>
    <xf numFmtId="9" fontId="4" fillId="0" borderId="0" xfId="58" applyFont="1" applyFill="1" applyBorder="1" applyAlignment="1">
      <alignment/>
    </xf>
    <xf numFmtId="2" fontId="4" fillId="0" borderId="0" xfId="55" applyNumberFormat="1" applyFont="1" applyFill="1" applyBorder="1">
      <alignment/>
      <protection/>
    </xf>
    <xf numFmtId="0" fontId="4" fillId="33" borderId="0" xfId="55" applyFont="1" applyFill="1">
      <alignment/>
      <protection/>
    </xf>
    <xf numFmtId="3" fontId="4" fillId="0" borderId="10" xfId="55" applyNumberFormat="1" applyFon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3" fontId="6" fillId="0" borderId="0" xfId="55" applyNumberFormat="1" applyFont="1" applyFill="1" applyBorder="1">
      <alignment/>
      <protection/>
    </xf>
    <xf numFmtId="0" fontId="4" fillId="33" borderId="0" xfId="55" applyFont="1" applyFill="1" applyBorder="1">
      <alignment/>
      <protection/>
    </xf>
    <xf numFmtId="1" fontId="4" fillId="0" borderId="0" xfId="55" applyNumberFormat="1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0" fontId="4" fillId="0" borderId="11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4" fillId="0" borderId="12" xfId="55" applyFont="1" applyFill="1" applyBorder="1" applyAlignment="1">
      <alignment wrapText="1"/>
      <protection/>
    </xf>
    <xf numFmtId="0" fontId="6" fillId="33" borderId="10" xfId="55" applyFont="1" applyFill="1" applyBorder="1" applyAlignment="1">
      <alignment wrapText="1"/>
      <protection/>
    </xf>
    <xf numFmtId="0" fontId="6" fillId="33" borderId="10" xfId="55" applyFont="1" applyFill="1" applyBorder="1" applyAlignment="1">
      <alignment horizontal="right" wrapText="1"/>
      <protection/>
    </xf>
    <xf numFmtId="0" fontId="4" fillId="0" borderId="0" xfId="55" applyFont="1" applyAlignment="1">
      <alignment wrapText="1"/>
      <protection/>
    </xf>
    <xf numFmtId="0" fontId="4" fillId="0" borderId="11" xfId="55" applyFont="1" applyFill="1" applyBorder="1" applyAlignment="1">
      <alignment wrapText="1"/>
      <protection/>
    </xf>
    <xf numFmtId="0" fontId="4" fillId="0" borderId="0" xfId="55" applyFont="1" applyFill="1" applyBorder="1" applyAlignment="1">
      <alignment wrapText="1"/>
      <protection/>
    </xf>
    <xf numFmtId="9" fontId="5" fillId="0" borderId="0" xfId="58" applyFont="1" applyFill="1" applyBorder="1" applyAlignment="1">
      <alignment horizontal="right" wrapText="1"/>
    </xf>
    <xf numFmtId="9" fontId="5" fillId="0" borderId="0" xfId="55" applyNumberFormat="1" applyFont="1" applyFill="1" applyBorder="1" applyAlignment="1">
      <alignment horizontal="right" wrapText="1"/>
      <protection/>
    </xf>
    <xf numFmtId="0" fontId="4" fillId="0" borderId="0" xfId="55" applyFont="1" applyFill="1" applyAlignment="1">
      <alignment wrapText="1"/>
      <protection/>
    </xf>
    <xf numFmtId="0" fontId="7" fillId="0" borderId="0" xfId="55" applyFont="1" applyFill="1">
      <alignment/>
      <protection/>
    </xf>
    <xf numFmtId="0" fontId="7" fillId="0" borderId="0" xfId="55" applyFont="1">
      <alignment/>
      <protection/>
    </xf>
    <xf numFmtId="2" fontId="7" fillId="0" borderId="0" xfId="55" applyNumberFormat="1" applyFont="1">
      <alignment/>
      <protection/>
    </xf>
    <xf numFmtId="2" fontId="7" fillId="0" borderId="0" xfId="55" applyNumberFormat="1" applyFont="1" applyFill="1">
      <alignment/>
      <protection/>
    </xf>
    <xf numFmtId="3" fontId="4" fillId="0" borderId="0" xfId="55" applyNumberFormat="1" applyFont="1" applyBorder="1">
      <alignment/>
      <protection/>
    </xf>
    <xf numFmtId="3" fontId="4" fillId="0" borderId="11" xfId="55" applyNumberFormat="1" applyFont="1" applyFill="1" applyBorder="1">
      <alignment/>
      <protection/>
    </xf>
    <xf numFmtId="3" fontId="4" fillId="0" borderId="10" xfId="55" applyNumberFormat="1" applyFont="1" applyBorder="1">
      <alignment/>
      <protection/>
    </xf>
    <xf numFmtId="3" fontId="4" fillId="0" borderId="13" xfId="55" applyNumberFormat="1" applyFont="1" applyBorder="1">
      <alignment/>
      <protection/>
    </xf>
    <xf numFmtId="4" fontId="4" fillId="0" borderId="0" xfId="55" applyNumberFormat="1" applyFont="1">
      <alignment/>
      <protection/>
    </xf>
    <xf numFmtId="9" fontId="4" fillId="0" borderId="0" xfId="58" applyFont="1" applyBorder="1" applyAlignment="1">
      <alignment/>
    </xf>
    <xf numFmtId="3" fontId="6" fillId="34" borderId="0" xfId="55" applyNumberFormat="1" applyFont="1" applyFill="1" applyBorder="1">
      <alignment/>
      <protection/>
    </xf>
    <xf numFmtId="3" fontId="4" fillId="34" borderId="0" xfId="55" applyNumberFormat="1" applyFont="1" applyFill="1" applyBorder="1">
      <alignment/>
      <protection/>
    </xf>
    <xf numFmtId="1" fontId="4" fillId="34" borderId="0" xfId="55" applyNumberFormat="1" applyFont="1" applyFill="1" applyBorder="1">
      <alignment/>
      <protection/>
    </xf>
    <xf numFmtId="1" fontId="6" fillId="34" borderId="10" xfId="55" applyNumberFormat="1" applyFont="1" applyFill="1" applyBorder="1" applyAlignment="1">
      <alignment horizontal="right" wrapText="1"/>
      <protection/>
    </xf>
    <xf numFmtId="1" fontId="4" fillId="0" borderId="0" xfId="55" applyNumberFormat="1" applyFont="1">
      <alignment/>
      <protection/>
    </xf>
    <xf numFmtId="2" fontId="6" fillId="34" borderId="14" xfId="55" applyNumberFormat="1" applyFont="1" applyFill="1" applyBorder="1">
      <alignment/>
      <protection/>
    </xf>
    <xf numFmtId="2" fontId="4" fillId="34" borderId="14" xfId="55" applyNumberFormat="1" applyFont="1" applyFill="1" applyBorder="1">
      <alignment/>
      <protection/>
    </xf>
    <xf numFmtId="2" fontId="6" fillId="34" borderId="15" xfId="55" applyNumberFormat="1" applyFont="1" applyFill="1" applyBorder="1">
      <alignment/>
      <protection/>
    </xf>
    <xf numFmtId="2" fontId="4" fillId="0" borderId="13" xfId="55" applyNumberFormat="1" applyFont="1" applyBorder="1">
      <alignment/>
      <protection/>
    </xf>
    <xf numFmtId="2" fontId="4" fillId="0" borderId="0" xfId="55" applyNumberFormat="1" applyFont="1" applyBorder="1">
      <alignment/>
      <protection/>
    </xf>
    <xf numFmtId="2" fontId="4" fillId="0" borderId="0" xfId="55" applyNumberFormat="1" applyFont="1">
      <alignment/>
      <protection/>
    </xf>
    <xf numFmtId="3" fontId="4" fillId="0" borderId="0" xfId="55" applyNumberFormat="1" applyFont="1" applyFill="1">
      <alignment/>
      <protection/>
    </xf>
    <xf numFmtId="1" fontId="6" fillId="34" borderId="10" xfId="55" applyNumberFormat="1" applyFont="1" applyFill="1" applyBorder="1">
      <alignment/>
      <protection/>
    </xf>
    <xf numFmtId="0" fontId="2" fillId="0" borderId="0" xfId="55" applyFont="1" applyFill="1">
      <alignment/>
      <protection/>
    </xf>
    <xf numFmtId="0" fontId="6" fillId="34" borderId="0" xfId="55" applyFont="1" applyFill="1">
      <alignment/>
      <protection/>
    </xf>
    <xf numFmtId="0" fontId="2" fillId="34" borderId="0" xfId="55" applyFont="1" applyFill="1">
      <alignment/>
      <protection/>
    </xf>
    <xf numFmtId="0" fontId="2" fillId="0" borderId="0" xfId="55" applyFont="1">
      <alignment/>
      <protection/>
    </xf>
    <xf numFmtId="2" fontId="4" fillId="34" borderId="0" xfId="55" applyNumberFormat="1" applyFont="1" applyFill="1" applyBorder="1">
      <alignment/>
      <protection/>
    </xf>
    <xf numFmtId="2" fontId="8" fillId="0" borderId="0" xfId="55" applyNumberFormat="1" applyFont="1" applyFill="1" applyBorder="1">
      <alignment/>
      <protection/>
    </xf>
    <xf numFmtId="2" fontId="8" fillId="0" borderId="0" xfId="55" applyNumberFormat="1" applyFont="1" applyBorder="1">
      <alignment/>
      <protection/>
    </xf>
    <xf numFmtId="2" fontId="8" fillId="0" borderId="0" xfId="55" applyNumberFormat="1" applyFont="1" applyBorder="1" quotePrefix="1">
      <alignment/>
      <protection/>
    </xf>
    <xf numFmtId="3" fontId="8" fillId="0" borderId="0" xfId="55" applyNumberFormat="1" applyFont="1" applyBorder="1">
      <alignment/>
      <protection/>
    </xf>
    <xf numFmtId="2" fontId="9" fillId="0" borderId="0" xfId="55" applyNumberFormat="1" applyFont="1" applyBorder="1">
      <alignment/>
      <protection/>
    </xf>
    <xf numFmtId="2" fontId="8" fillId="0" borderId="0" xfId="55" applyNumberFormat="1" applyFont="1">
      <alignment/>
      <protection/>
    </xf>
    <xf numFmtId="173" fontId="4" fillId="34" borderId="0" xfId="58" applyNumberFormat="1" applyFont="1" applyFill="1" applyBorder="1" applyAlignment="1">
      <alignment/>
    </xf>
    <xf numFmtId="0" fontId="2" fillId="0" borderId="16" xfId="55" applyFont="1" applyBorder="1" applyAlignment="1">
      <alignment horizontal="right"/>
      <protection/>
    </xf>
    <xf numFmtId="0" fontId="2" fillId="0" borderId="0" xfId="55" applyFont="1" applyBorder="1">
      <alignment/>
      <protection/>
    </xf>
    <xf numFmtId="9" fontId="2" fillId="0" borderId="0" xfId="58" applyFont="1" applyFill="1" applyAlignment="1">
      <alignment/>
    </xf>
    <xf numFmtId="9" fontId="2" fillId="0" borderId="0" xfId="58" applyFont="1" applyAlignment="1">
      <alignment/>
    </xf>
    <xf numFmtId="9" fontId="2" fillId="0" borderId="17" xfId="58" applyFont="1" applyBorder="1" applyAlignment="1">
      <alignment/>
    </xf>
    <xf numFmtId="9" fontId="2" fillId="0" borderId="0" xfId="58" applyFont="1" applyBorder="1" applyAlignment="1">
      <alignment/>
    </xf>
    <xf numFmtId="9" fontId="2" fillId="0" borderId="18" xfId="58" applyFont="1" applyBorder="1" applyAlignment="1">
      <alignment/>
    </xf>
    <xf numFmtId="3" fontId="2" fillId="0" borderId="0" xfId="55" applyNumberFormat="1" applyFont="1">
      <alignment/>
      <protection/>
    </xf>
    <xf numFmtId="1" fontId="6" fillId="0" borderId="0" xfId="55" applyNumberFormat="1" applyFont="1" applyFill="1" applyBorder="1" applyAlignment="1">
      <alignment horizontal="right" wrapText="1"/>
      <protection/>
    </xf>
    <xf numFmtId="173" fontId="4" fillId="35" borderId="0" xfId="58" applyNumberFormat="1" applyFont="1" applyFill="1" applyBorder="1" applyAlignment="1">
      <alignment/>
    </xf>
    <xf numFmtId="172" fontId="4" fillId="35" borderId="0" xfId="55" applyNumberFormat="1" applyFont="1" applyFill="1" applyBorder="1">
      <alignment/>
      <protection/>
    </xf>
    <xf numFmtId="3" fontId="4" fillId="35" borderId="11" xfId="55" applyNumberFormat="1" applyFont="1" applyFill="1" applyBorder="1">
      <alignment/>
      <protection/>
    </xf>
    <xf numFmtId="3" fontId="4" fillId="35" borderId="0" xfId="55" applyNumberFormat="1" applyFont="1" applyFill="1" applyBorder="1">
      <alignment/>
      <protection/>
    </xf>
    <xf numFmtId="3" fontId="4" fillId="35" borderId="0" xfId="55" applyNumberFormat="1" applyFont="1" applyFill="1">
      <alignment/>
      <protection/>
    </xf>
    <xf numFmtId="172" fontId="4" fillId="35" borderId="0" xfId="55" applyNumberFormat="1" applyFont="1" applyFill="1" applyBorder="1" applyAlignment="1">
      <alignment horizontal="right"/>
      <protection/>
    </xf>
    <xf numFmtId="1" fontId="44" fillId="0" borderId="0" xfId="55" applyNumberFormat="1" applyFont="1" applyFill="1" applyBorder="1">
      <alignment/>
      <protection/>
    </xf>
    <xf numFmtId="2" fontId="44" fillId="35" borderId="0" xfId="55" applyNumberFormat="1" applyFont="1" applyFill="1" applyBorder="1">
      <alignment/>
      <protection/>
    </xf>
    <xf numFmtId="9" fontId="44" fillId="0" borderId="0" xfId="55" applyNumberFormat="1" applyFont="1" applyFill="1" applyBorder="1">
      <alignment/>
      <protection/>
    </xf>
    <xf numFmtId="0" fontId="4" fillId="36" borderId="0" xfId="55" applyFont="1" applyFill="1" applyBorder="1">
      <alignment/>
      <protection/>
    </xf>
    <xf numFmtId="0" fontId="4" fillId="36" borderId="0" xfId="55" applyFont="1" applyFill="1">
      <alignment/>
      <protection/>
    </xf>
    <xf numFmtId="10" fontId="44" fillId="36" borderId="0" xfId="55" applyNumberFormat="1" applyFont="1" applyFill="1" applyBorder="1">
      <alignment/>
      <protection/>
    </xf>
    <xf numFmtId="0" fontId="4" fillId="36" borderId="0" xfId="55" applyFont="1" applyFill="1" applyBorder="1" applyAlignment="1">
      <alignment horizontal="left"/>
      <protection/>
    </xf>
    <xf numFmtId="0" fontId="4" fillId="36" borderId="0" xfId="55" applyFont="1" applyFill="1" applyBorder="1" applyAlignment="1">
      <alignment horizontal="left" wrapText="1"/>
      <protection/>
    </xf>
    <xf numFmtId="2" fontId="44" fillId="36" borderId="0" xfId="55" applyNumberFormat="1" applyFont="1" applyFill="1" applyBorder="1">
      <alignment/>
      <protection/>
    </xf>
    <xf numFmtId="173" fontId="4" fillId="0" borderId="0" xfId="58" applyNumberFormat="1" applyFont="1" applyFill="1" applyBorder="1" applyAlignment="1">
      <alignment horizontal="right"/>
    </xf>
    <xf numFmtId="9" fontId="4" fillId="0" borderId="0" xfId="55" applyNumberFormat="1" applyFont="1" applyFill="1" applyBorder="1" applyAlignment="1">
      <alignment horizontal="left"/>
      <protection/>
    </xf>
    <xf numFmtId="173" fontId="4" fillId="36" borderId="0" xfId="55" applyNumberFormat="1" applyFont="1" applyFill="1" applyBorder="1">
      <alignment/>
      <protection/>
    </xf>
    <xf numFmtId="0" fontId="4" fillId="0" borderId="0" xfId="55" applyFont="1" applyBorder="1" applyAlignment="1">
      <alignment horizontal="left" wrapText="1" shrinkToFit="1"/>
      <protection/>
    </xf>
    <xf numFmtId="0" fontId="4" fillId="0" borderId="0" xfId="55" applyFont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reka CF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108"/>
  <sheetViews>
    <sheetView tabSelected="1" zoomScale="90" zoomScaleNormal="90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1.1484375" style="69" customWidth="1"/>
    <col min="2" max="2" width="48.8515625" style="72" customWidth="1"/>
    <col min="3" max="3" width="11.7109375" style="72" hidden="1" customWidth="1"/>
    <col min="4" max="4" width="10.7109375" style="72" customWidth="1"/>
    <col min="5" max="5" width="11.57421875" style="72" customWidth="1"/>
    <col min="6" max="6" width="13.421875" style="72" customWidth="1"/>
    <col min="7" max="7" width="14.00390625" style="72" customWidth="1"/>
    <col min="8" max="8" width="13.00390625" style="72" customWidth="1"/>
    <col min="9" max="9" width="12.57421875" style="72" customWidth="1"/>
    <col min="10" max="10" width="12.8515625" style="72" customWidth="1"/>
    <col min="11" max="12" width="13.421875" style="72" customWidth="1"/>
    <col min="13" max="13" width="10.8515625" style="72" customWidth="1"/>
    <col min="14" max="14" width="11.00390625" style="72" customWidth="1"/>
    <col min="15" max="15" width="11.8515625" style="72" customWidth="1"/>
    <col min="16" max="16" width="10.140625" style="72" customWidth="1"/>
    <col min="17" max="17" width="16.140625" style="72" customWidth="1"/>
    <col min="18" max="18" width="12.00390625" style="72" customWidth="1"/>
    <col min="19" max="20" width="7.140625" style="72" bestFit="1" customWidth="1"/>
    <col min="21" max="21" width="10.00390625" style="72" bestFit="1" customWidth="1"/>
    <col min="22" max="22" width="10.00390625" style="72" customWidth="1"/>
    <col min="23" max="23" width="9.7109375" style="72" customWidth="1"/>
    <col min="24" max="24" width="9.28125" style="72" bestFit="1" customWidth="1"/>
    <col min="25" max="25" width="9.140625" style="72" customWidth="1"/>
    <col min="26" max="26" width="10.00390625" style="72" bestFit="1" customWidth="1"/>
    <col min="27" max="16384" width="9.140625" style="72" customWidth="1"/>
  </cols>
  <sheetData>
    <row r="1" s="1" customFormat="1" ht="23.25">
      <c r="B1" s="2" t="s">
        <v>74</v>
      </c>
    </row>
    <row r="2" s="1" customFormat="1" ht="11.25" customHeight="1">
      <c r="B2" s="2"/>
    </row>
    <row r="3" spans="4:8" s="3" customFormat="1" ht="15.75">
      <c r="D3" s="4"/>
      <c r="F3" s="5"/>
      <c r="G3" s="5"/>
      <c r="H3" s="5"/>
    </row>
    <row r="4" spans="2:5" s="3" customFormat="1" ht="15" customHeight="1">
      <c r="B4" s="3" t="s">
        <v>1</v>
      </c>
      <c r="D4" s="6">
        <v>6</v>
      </c>
      <c r="E4" s="6"/>
    </row>
    <row r="5" spans="2:9" s="3" customFormat="1" ht="15.75">
      <c r="B5" s="3" t="s">
        <v>2</v>
      </c>
      <c r="D5" s="7">
        <v>2</v>
      </c>
      <c r="E5" s="8"/>
      <c r="F5" s="9" t="s">
        <v>3</v>
      </c>
      <c r="G5" s="10"/>
      <c r="H5" s="11" t="s">
        <v>4</v>
      </c>
      <c r="I5" s="11" t="s">
        <v>5</v>
      </c>
    </row>
    <row r="6" spans="2:20" s="3" customFormat="1" ht="15.75">
      <c r="B6" s="3" t="s">
        <v>0</v>
      </c>
      <c r="D6" s="7">
        <f>+D4*D5</f>
        <v>12</v>
      </c>
      <c r="E6" s="4"/>
      <c r="F6" s="3" t="s">
        <v>73</v>
      </c>
      <c r="H6" s="12">
        <v>35</v>
      </c>
      <c r="I6" s="12">
        <v>2.9166666666666665</v>
      </c>
      <c r="K6" s="108" t="s">
        <v>6</v>
      </c>
      <c r="L6" s="108"/>
      <c r="M6" s="108"/>
      <c r="N6" s="108"/>
      <c r="O6" s="91">
        <v>8.7</v>
      </c>
      <c r="Q6" s="14"/>
      <c r="R6" s="12"/>
      <c r="T6" s="15"/>
    </row>
    <row r="7" spans="2:16" s="3" customFormat="1" ht="15.75">
      <c r="B7" s="16" t="s">
        <v>7</v>
      </c>
      <c r="D7" s="17">
        <f>33196</f>
        <v>33196</v>
      </c>
      <c r="E7" s="17"/>
      <c r="F7" s="3" t="s">
        <v>72</v>
      </c>
      <c r="H7" s="12">
        <v>50</v>
      </c>
      <c r="I7" s="12">
        <v>4.166666666666667</v>
      </c>
      <c r="K7" s="108" t="s">
        <v>75</v>
      </c>
      <c r="L7" s="108"/>
      <c r="M7" s="108"/>
      <c r="N7" s="108"/>
      <c r="O7" s="95">
        <v>6.4</v>
      </c>
      <c r="P7" s="20">
        <v>0.03</v>
      </c>
    </row>
    <row r="8" spans="2:20" s="3" customFormat="1" ht="15.75">
      <c r="B8" s="3" t="s">
        <v>8</v>
      </c>
      <c r="D8" s="105">
        <f>D7/D6/8760</f>
        <v>0.3157914764079148</v>
      </c>
      <c r="E8" s="6"/>
      <c r="F8" s="3" t="s">
        <v>71</v>
      </c>
      <c r="H8" s="12">
        <v>1986</v>
      </c>
      <c r="I8" s="12">
        <v>165.5</v>
      </c>
      <c r="O8" s="18"/>
      <c r="R8" s="19"/>
      <c r="T8" s="20"/>
    </row>
    <row r="9" spans="2:18" s="3" customFormat="1" ht="15.75">
      <c r="B9" s="3" t="s">
        <v>9</v>
      </c>
      <c r="D9" s="6">
        <v>20</v>
      </c>
      <c r="E9" s="6"/>
      <c r="F9" s="3" t="s">
        <v>70</v>
      </c>
      <c r="H9" s="12">
        <v>17619.9</v>
      </c>
      <c r="I9" s="12">
        <v>1468.325</v>
      </c>
      <c r="K9" s="14" t="s">
        <v>78</v>
      </c>
      <c r="L9" s="14"/>
      <c r="M9" s="14"/>
      <c r="N9" s="14"/>
      <c r="O9" s="21">
        <v>0.03</v>
      </c>
      <c r="R9" s="12"/>
    </row>
    <row r="10" spans="2:15" s="3" customFormat="1" ht="15.75">
      <c r="B10" s="3" t="s">
        <v>10</v>
      </c>
      <c r="D10" s="22">
        <f>1/D9</f>
        <v>0.05</v>
      </c>
      <c r="E10" s="6"/>
      <c r="F10" s="3" t="s">
        <v>69</v>
      </c>
      <c r="H10" s="12">
        <v>2150</v>
      </c>
      <c r="I10" s="12">
        <v>179.16666666666666</v>
      </c>
      <c r="K10" s="3" t="s">
        <v>11</v>
      </c>
      <c r="O10" s="23">
        <v>0.004</v>
      </c>
    </row>
    <row r="11" spans="4:15" s="3" customFormat="1" ht="15.75">
      <c r="D11" s="24"/>
      <c r="E11" s="6"/>
      <c r="F11" s="3" t="s">
        <v>68</v>
      </c>
      <c r="H11" s="12">
        <v>150</v>
      </c>
      <c r="I11" s="12">
        <v>12.5</v>
      </c>
      <c r="K11" s="3" t="s">
        <v>79</v>
      </c>
      <c r="O11" s="97">
        <v>6</v>
      </c>
    </row>
    <row r="12" spans="2:15" s="3" customFormat="1" ht="15.75">
      <c r="B12" s="3" t="s">
        <v>12</v>
      </c>
      <c r="D12" s="12">
        <f>H16</f>
        <v>22450.9</v>
      </c>
      <c r="E12" s="12"/>
      <c r="F12" s="3" t="s">
        <v>67</v>
      </c>
      <c r="H12" s="12">
        <v>135</v>
      </c>
      <c r="I12" s="12">
        <v>11.25</v>
      </c>
      <c r="K12" s="3" t="s">
        <v>13</v>
      </c>
      <c r="O12" s="98">
        <v>0.03</v>
      </c>
    </row>
    <row r="13" spans="2:15" s="3" customFormat="1" ht="15" customHeight="1">
      <c r="B13" s="109" t="s">
        <v>14</v>
      </c>
      <c r="C13" s="109"/>
      <c r="D13" s="12">
        <v>0</v>
      </c>
      <c r="E13" s="12"/>
      <c r="F13" s="3" t="s">
        <v>38</v>
      </c>
      <c r="H13" s="12">
        <v>275</v>
      </c>
      <c r="I13" s="12">
        <v>22.916666666666668</v>
      </c>
      <c r="K13" s="100" t="s">
        <v>76</v>
      </c>
      <c r="L13" s="100"/>
      <c r="M13" s="100"/>
      <c r="N13" s="100"/>
      <c r="O13" s="101">
        <f>IRR(D70:Z70)</f>
        <v>0.07605418844030139</v>
      </c>
    </row>
    <row r="14" spans="2:15" s="3" customFormat="1" ht="15" customHeight="1">
      <c r="B14" s="3" t="s">
        <v>15</v>
      </c>
      <c r="D14" s="12">
        <f>D12-D13</f>
        <v>22450.9</v>
      </c>
      <c r="E14" s="12"/>
      <c r="F14" s="3" t="s">
        <v>66</v>
      </c>
      <c r="H14" s="12">
        <v>0</v>
      </c>
      <c r="I14" s="12">
        <v>0</v>
      </c>
      <c r="K14" s="102" t="s">
        <v>17</v>
      </c>
      <c r="L14" s="103"/>
      <c r="M14" s="103"/>
      <c r="N14" s="103"/>
      <c r="O14" s="104">
        <f>S64</f>
        <v>0.9609356011103256</v>
      </c>
    </row>
    <row r="15" spans="5:16" s="3" customFormat="1" ht="15.75">
      <c r="E15" s="12"/>
      <c r="F15" s="3" t="s">
        <v>65</v>
      </c>
      <c r="H15" s="12">
        <v>50</v>
      </c>
      <c r="I15" s="12">
        <v>4.166666666666667</v>
      </c>
      <c r="K15" s="99" t="s">
        <v>77</v>
      </c>
      <c r="L15" s="99"/>
      <c r="M15" s="99"/>
      <c r="N15" s="99"/>
      <c r="O15" s="107">
        <f>IRR(D42:Z42)</f>
        <v>0.0806745805877744</v>
      </c>
      <c r="P15" s="16"/>
    </row>
    <row r="16" spans="2:16" s="3" customFormat="1" ht="15" customHeight="1">
      <c r="B16" s="3" t="s">
        <v>16</v>
      </c>
      <c r="D16" s="12">
        <f>+$D$14*E16</f>
        <v>3367.635</v>
      </c>
      <c r="E16" s="106">
        <v>0.15</v>
      </c>
      <c r="F16" s="28" t="s">
        <v>19</v>
      </c>
      <c r="H16" s="29">
        <f>SUM(H6:H15)</f>
        <v>22450.9</v>
      </c>
      <c r="I16" s="29">
        <f>SUM(I6:I15)</f>
        <v>1870.9083333333335</v>
      </c>
      <c r="O16" s="96"/>
      <c r="P16" s="16"/>
    </row>
    <row r="17" spans="2:10" s="3" customFormat="1" ht="15.75">
      <c r="B17" s="3" t="s">
        <v>18</v>
      </c>
      <c r="D17" s="12">
        <f>+$D$14*E17</f>
        <v>19083.265</v>
      </c>
      <c r="E17" s="106">
        <f>1-E16</f>
        <v>0.85</v>
      </c>
      <c r="F17" s="28"/>
      <c r="H17" s="29"/>
      <c r="I17" s="29"/>
      <c r="J17" s="29"/>
    </row>
    <row r="18" spans="2:5" s="3" customFormat="1" ht="15.75">
      <c r="B18" s="3" t="s">
        <v>20</v>
      </c>
      <c r="D18" s="31">
        <v>12</v>
      </c>
      <c r="E18" s="6"/>
    </row>
    <row r="19" spans="2:5" s="3" customFormat="1" ht="15.75">
      <c r="B19" s="3" t="s">
        <v>21</v>
      </c>
      <c r="D19" s="90">
        <v>0.075</v>
      </c>
      <c r="E19" s="6"/>
    </row>
    <row r="20" spans="1:25" s="33" customFormat="1" ht="15.75">
      <c r="A20" s="32"/>
      <c r="L20" s="32"/>
      <c r="M20" s="32"/>
      <c r="N20" s="32"/>
      <c r="O20" s="3"/>
      <c r="P20" s="32"/>
      <c r="Q20" s="32"/>
      <c r="R20" s="32"/>
      <c r="S20" s="32"/>
      <c r="T20" s="32"/>
      <c r="U20" s="32"/>
      <c r="V20" s="32"/>
      <c r="X20" s="34"/>
      <c r="Y20" s="34"/>
    </row>
    <row r="21" spans="1:25" s="33" customFormat="1" ht="15.75" hidden="1">
      <c r="A21" s="35"/>
      <c r="B21" s="34"/>
      <c r="C21" s="34"/>
      <c r="D21" s="34">
        <v>0</v>
      </c>
      <c r="E21" s="34">
        <f aca="true" t="shared" si="0" ref="E21:W21">D21*1.05</f>
        <v>0</v>
      </c>
      <c r="F21" s="34">
        <f>E21*1.05</f>
        <v>0</v>
      </c>
      <c r="G21" s="34">
        <f t="shared" si="0"/>
        <v>0</v>
      </c>
      <c r="H21" s="34">
        <f t="shared" si="0"/>
        <v>0</v>
      </c>
      <c r="I21" s="34">
        <f t="shared" si="0"/>
        <v>0</v>
      </c>
      <c r="J21" s="34">
        <f>I21*1.05</f>
        <v>0</v>
      </c>
      <c r="K21" s="34">
        <f t="shared" si="0"/>
        <v>0</v>
      </c>
      <c r="L21" s="34">
        <f t="shared" si="0"/>
        <v>0</v>
      </c>
      <c r="M21" s="34">
        <f t="shared" si="0"/>
        <v>0</v>
      </c>
      <c r="N21" s="34">
        <f t="shared" si="0"/>
        <v>0</v>
      </c>
      <c r="O21" s="34">
        <f t="shared" si="0"/>
        <v>0</v>
      </c>
      <c r="P21" s="34">
        <f t="shared" si="0"/>
        <v>0</v>
      </c>
      <c r="Q21" s="34">
        <f t="shared" si="0"/>
        <v>0</v>
      </c>
      <c r="R21" s="34">
        <f t="shared" si="0"/>
        <v>0</v>
      </c>
      <c r="S21" s="34">
        <f t="shared" si="0"/>
        <v>0</v>
      </c>
      <c r="T21" s="34">
        <f t="shared" si="0"/>
        <v>0</v>
      </c>
      <c r="U21" s="34">
        <f t="shared" si="0"/>
        <v>0</v>
      </c>
      <c r="V21" s="34">
        <f t="shared" si="0"/>
        <v>0</v>
      </c>
      <c r="W21" s="13">
        <f t="shared" si="0"/>
        <v>0</v>
      </c>
      <c r="X21" s="34"/>
      <c r="Y21" s="34"/>
    </row>
    <row r="22" spans="1:26" s="33" customFormat="1" ht="15.75">
      <c r="A22" s="3"/>
      <c r="B22" s="36" t="s">
        <v>22</v>
      </c>
      <c r="C22" s="36" t="s">
        <v>23</v>
      </c>
      <c r="D22" s="30"/>
      <c r="E22" s="2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33" customFormat="1" ht="15.75">
      <c r="A23" s="35"/>
      <c r="B23" s="30"/>
      <c r="C23" s="30"/>
      <c r="D23" s="36"/>
      <c r="E23" s="36"/>
      <c r="F23" s="36">
        <v>1</v>
      </c>
      <c r="G23" s="36">
        <v>2</v>
      </c>
      <c r="H23" s="36">
        <v>3</v>
      </c>
      <c r="I23" s="36">
        <v>4</v>
      </c>
      <c r="J23" s="36">
        <v>5</v>
      </c>
      <c r="K23" s="36">
        <v>6</v>
      </c>
      <c r="L23" s="36">
        <v>7</v>
      </c>
      <c r="M23" s="36">
        <v>8</v>
      </c>
      <c r="N23" s="36">
        <v>9</v>
      </c>
      <c r="O23" s="36">
        <v>10</v>
      </c>
      <c r="P23" s="36">
        <v>11</v>
      </c>
      <c r="Q23" s="36">
        <v>12</v>
      </c>
      <c r="R23" s="36">
        <v>13</v>
      </c>
      <c r="S23" s="36">
        <v>14</v>
      </c>
      <c r="T23" s="36">
        <v>15</v>
      </c>
      <c r="U23" s="36">
        <v>16</v>
      </c>
      <c r="V23" s="36">
        <v>17</v>
      </c>
      <c r="W23" s="36">
        <v>18</v>
      </c>
      <c r="X23" s="36">
        <v>19</v>
      </c>
      <c r="Y23" s="36">
        <v>20</v>
      </c>
      <c r="Z23" s="36">
        <v>21</v>
      </c>
    </row>
    <row r="24" spans="1:26" s="40" customFormat="1" ht="15.75">
      <c r="A24" s="37"/>
      <c r="B24" s="38" t="s">
        <v>64</v>
      </c>
      <c r="C24" s="39">
        <v>2007</v>
      </c>
      <c r="D24" s="39">
        <f aca="true" t="shared" si="1" ref="D24:W24">C24+1</f>
        <v>2008</v>
      </c>
      <c r="E24" s="39">
        <f t="shared" si="1"/>
        <v>2009</v>
      </c>
      <c r="F24" s="39">
        <f>E24+1</f>
        <v>2010</v>
      </c>
      <c r="G24" s="39">
        <f t="shared" si="1"/>
        <v>2011</v>
      </c>
      <c r="H24" s="39">
        <f t="shared" si="1"/>
        <v>2012</v>
      </c>
      <c r="I24" s="39">
        <f t="shared" si="1"/>
        <v>2013</v>
      </c>
      <c r="J24" s="39">
        <f>I24+1</f>
        <v>2014</v>
      </c>
      <c r="K24" s="39">
        <f t="shared" si="1"/>
        <v>2015</v>
      </c>
      <c r="L24" s="39">
        <f t="shared" si="1"/>
        <v>2016</v>
      </c>
      <c r="M24" s="39">
        <f t="shared" si="1"/>
        <v>2017</v>
      </c>
      <c r="N24" s="39">
        <f t="shared" si="1"/>
        <v>2018</v>
      </c>
      <c r="O24" s="39">
        <f t="shared" si="1"/>
        <v>2019</v>
      </c>
      <c r="P24" s="39">
        <f t="shared" si="1"/>
        <v>2020</v>
      </c>
      <c r="Q24" s="39">
        <f t="shared" si="1"/>
        <v>2021</v>
      </c>
      <c r="R24" s="39">
        <f t="shared" si="1"/>
        <v>2022</v>
      </c>
      <c r="S24" s="39">
        <f t="shared" si="1"/>
        <v>2023</v>
      </c>
      <c r="T24" s="39">
        <f t="shared" si="1"/>
        <v>2024</v>
      </c>
      <c r="U24" s="39">
        <f t="shared" si="1"/>
        <v>2025</v>
      </c>
      <c r="V24" s="39">
        <f t="shared" si="1"/>
        <v>2026</v>
      </c>
      <c r="W24" s="39">
        <f t="shared" si="1"/>
        <v>2027</v>
      </c>
      <c r="X24" s="39">
        <f>W24+1</f>
        <v>2028</v>
      </c>
      <c r="Y24" s="39">
        <f>X24+1</f>
        <v>2029</v>
      </c>
      <c r="Z24" s="39">
        <f>Y24+1</f>
        <v>2030</v>
      </c>
    </row>
    <row r="25" spans="1:26" s="45" customFormat="1" ht="15.75">
      <c r="A25" s="41"/>
      <c r="B25" s="42"/>
      <c r="C25" s="42"/>
      <c r="D25" s="43">
        <v>0</v>
      </c>
      <c r="E25" s="43">
        <v>0</v>
      </c>
      <c r="F25" s="43">
        <v>1</v>
      </c>
      <c r="G25" s="43">
        <v>1</v>
      </c>
      <c r="H25" s="43">
        <v>1</v>
      </c>
      <c r="I25" s="43">
        <v>1</v>
      </c>
      <c r="J25" s="43">
        <v>1</v>
      </c>
      <c r="K25" s="43">
        <v>1</v>
      </c>
      <c r="L25" s="43">
        <v>1</v>
      </c>
      <c r="M25" s="43">
        <v>1</v>
      </c>
      <c r="N25" s="43">
        <v>1</v>
      </c>
      <c r="O25" s="43">
        <v>1</v>
      </c>
      <c r="P25" s="43">
        <v>1</v>
      </c>
      <c r="Q25" s="43">
        <v>1</v>
      </c>
      <c r="R25" s="43">
        <v>1</v>
      </c>
      <c r="S25" s="43">
        <v>1</v>
      </c>
      <c r="T25" s="43">
        <v>1</v>
      </c>
      <c r="U25" s="43">
        <v>1</v>
      </c>
      <c r="V25" s="43">
        <v>1</v>
      </c>
      <c r="W25" s="43">
        <v>1</v>
      </c>
      <c r="X25" s="44">
        <f>1-D25</f>
        <v>1</v>
      </c>
      <c r="Y25" s="44">
        <v>1</v>
      </c>
      <c r="Z25" s="44">
        <v>0.75</v>
      </c>
    </row>
    <row r="26" spans="1:26" s="47" customFormat="1" ht="12.75">
      <c r="A26" s="46"/>
      <c r="B26" s="47" t="s">
        <v>24</v>
      </c>
      <c r="C26" s="48"/>
      <c r="D26" s="48">
        <f>O6</f>
        <v>8.7</v>
      </c>
      <c r="E26" s="49">
        <f aca="true" t="shared" si="2" ref="E26:P26">D26</f>
        <v>8.7</v>
      </c>
      <c r="F26" s="48">
        <f>E26</f>
        <v>8.7</v>
      </c>
      <c r="G26" s="48">
        <f t="shared" si="2"/>
        <v>8.7</v>
      </c>
      <c r="H26" s="48">
        <f t="shared" si="2"/>
        <v>8.7</v>
      </c>
      <c r="I26" s="48">
        <f t="shared" si="2"/>
        <v>8.7</v>
      </c>
      <c r="J26" s="48">
        <f>I26</f>
        <v>8.7</v>
      </c>
      <c r="K26" s="48">
        <f t="shared" si="2"/>
        <v>8.7</v>
      </c>
      <c r="L26" s="48">
        <f t="shared" si="2"/>
        <v>8.7</v>
      </c>
      <c r="M26" s="48">
        <f t="shared" si="2"/>
        <v>8.7</v>
      </c>
      <c r="N26" s="48">
        <f t="shared" si="2"/>
        <v>8.7</v>
      </c>
      <c r="O26" s="48">
        <f t="shared" si="2"/>
        <v>8.7</v>
      </c>
      <c r="P26" s="48">
        <f t="shared" si="2"/>
        <v>8.7</v>
      </c>
      <c r="Q26" s="48">
        <f>O7+O8</f>
        <v>6.4</v>
      </c>
      <c r="R26" s="48">
        <f aca="true" t="shared" si="3" ref="R26:X26">Q26*(1+$P$7)</f>
        <v>6.5920000000000005</v>
      </c>
      <c r="S26" s="48">
        <f t="shared" si="3"/>
        <v>6.789760000000001</v>
      </c>
      <c r="T26" s="48">
        <f t="shared" si="3"/>
        <v>6.993452800000001</v>
      </c>
      <c r="U26" s="48">
        <f t="shared" si="3"/>
        <v>7.203256384000001</v>
      </c>
      <c r="V26" s="48">
        <f t="shared" si="3"/>
        <v>7.419354075520001</v>
      </c>
      <c r="W26" s="48">
        <f t="shared" si="3"/>
        <v>7.641934697785602</v>
      </c>
      <c r="X26" s="48">
        <f t="shared" si="3"/>
        <v>7.87119273871917</v>
      </c>
      <c r="Y26" s="48">
        <f>X26*(1+$P$7)</f>
        <v>8.107328520880746</v>
      </c>
      <c r="Z26" s="48">
        <f>Y26*(1+$P$7)</f>
        <v>8.350548376507168</v>
      </c>
    </row>
    <row r="27" spans="1:25" s="33" customFormat="1" ht="15.75">
      <c r="A27" s="32"/>
      <c r="E27" s="32"/>
      <c r="Y27" s="34"/>
    </row>
    <row r="28" spans="1:26" s="19" customFormat="1" ht="15.75">
      <c r="A28" s="12"/>
      <c r="B28" s="50" t="s">
        <v>25</v>
      </c>
      <c r="C28" s="50">
        <v>0</v>
      </c>
      <c r="D28" s="50">
        <f>$D7*D26/100*D25</f>
        <v>0</v>
      </c>
      <c r="E28" s="50">
        <f>$D7*E26/100*E25</f>
        <v>0</v>
      </c>
      <c r="F28" s="50">
        <f>$D7*F26/100*F25</f>
        <v>2888.0519999999997</v>
      </c>
      <c r="G28" s="50">
        <f>$D7*G26/100</f>
        <v>2888.0519999999997</v>
      </c>
      <c r="H28" s="50">
        <f>$D7*H26/100</f>
        <v>2888.0519999999997</v>
      </c>
      <c r="I28" s="50">
        <f>$D7*I26/100</f>
        <v>2888.0519999999997</v>
      </c>
      <c r="J28" s="50">
        <f aca="true" t="shared" si="4" ref="J28:Y28">$D7*J26/100</f>
        <v>2888.0519999999997</v>
      </c>
      <c r="K28" s="50">
        <f t="shared" si="4"/>
        <v>2888.0519999999997</v>
      </c>
      <c r="L28" s="50">
        <f t="shared" si="4"/>
        <v>2888.0519999999997</v>
      </c>
      <c r="M28" s="50">
        <f t="shared" si="4"/>
        <v>2888.0519999999997</v>
      </c>
      <c r="N28" s="50">
        <f t="shared" si="4"/>
        <v>2888.0519999999997</v>
      </c>
      <c r="O28" s="50">
        <f t="shared" si="4"/>
        <v>2888.0519999999997</v>
      </c>
      <c r="P28" s="50">
        <f>$D7*P26/100</f>
        <v>2888.0519999999997</v>
      </c>
      <c r="Q28" s="50">
        <f>$D7*Q26/100</f>
        <v>2124.5440000000003</v>
      </c>
      <c r="R28" s="50">
        <f t="shared" si="4"/>
        <v>2188.28032</v>
      </c>
      <c r="S28" s="50">
        <f t="shared" si="4"/>
        <v>2253.9287296</v>
      </c>
      <c r="T28" s="50">
        <f t="shared" si="4"/>
        <v>2321.5465914880006</v>
      </c>
      <c r="U28" s="50">
        <f t="shared" si="4"/>
        <v>2391.1929892326407</v>
      </c>
      <c r="V28" s="50">
        <f t="shared" si="4"/>
        <v>2462.9287789096197</v>
      </c>
      <c r="W28" s="50">
        <f t="shared" si="4"/>
        <v>2536.816642276908</v>
      </c>
      <c r="X28" s="50">
        <f t="shared" si="4"/>
        <v>2612.921141545216</v>
      </c>
      <c r="Y28" s="50">
        <f t="shared" si="4"/>
        <v>2691.3087757915723</v>
      </c>
      <c r="Z28" s="50">
        <f>$D7*Z26/100*Z25</f>
        <v>2079.0360292989894</v>
      </c>
    </row>
    <row r="29" spans="1:25" s="19" customFormat="1" ht="15.75">
      <c r="A29" s="12"/>
      <c r="B29" s="50" t="s">
        <v>26</v>
      </c>
      <c r="C29" s="50">
        <v>0</v>
      </c>
      <c r="D29" s="50">
        <f>E29*D25</f>
        <v>0</v>
      </c>
      <c r="E29" s="12">
        <f>$R$6*$D$7*$R$7*(1-$R$8)/1000*E25</f>
        <v>0</v>
      </c>
      <c r="F29" s="12">
        <f>$R$6*$D$7*$R$7*(1-$R$8)/1000*F25</f>
        <v>0</v>
      </c>
      <c r="G29" s="12">
        <f>$R$6*$D$7*$R$7*(1-$R$8)/1000*G25</f>
        <v>0</v>
      </c>
      <c r="H29" s="50">
        <f>G29</f>
        <v>0</v>
      </c>
      <c r="I29" s="50"/>
      <c r="J29" s="50"/>
      <c r="K29" s="50"/>
      <c r="L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s="19" customFormat="1" ht="15.75">
      <c r="A30" s="12"/>
      <c r="B30" s="50" t="s">
        <v>27</v>
      </c>
      <c r="C30" s="50"/>
      <c r="D30" s="50"/>
      <c r="E30" s="12"/>
      <c r="F30" s="50"/>
      <c r="G30" s="50"/>
      <c r="H30" s="50"/>
      <c r="I30" s="50"/>
      <c r="J30" s="50"/>
      <c r="K30" s="50"/>
      <c r="L30" s="50"/>
      <c r="N30" s="50"/>
      <c r="O30" s="50"/>
      <c r="P30" s="50"/>
      <c r="Q30" s="50"/>
      <c r="R30" s="50"/>
      <c r="S30" s="50"/>
      <c r="T30" s="50"/>
      <c r="U30" s="50"/>
      <c r="V30" s="50"/>
      <c r="W30" s="50">
        <f>W21</f>
        <v>0</v>
      </c>
      <c r="X30" s="50">
        <f>X21</f>
        <v>0</v>
      </c>
      <c r="Y30" s="50"/>
    </row>
    <row r="31" spans="1:26" s="19" customFormat="1" ht="19.5" customHeight="1">
      <c r="A31" s="12"/>
      <c r="B31" s="50" t="s">
        <v>28</v>
      </c>
      <c r="C31" s="50">
        <f aca="true" t="shared" si="5" ref="C31:X31">SUM(C28:C30)</f>
        <v>0</v>
      </c>
      <c r="D31" s="50">
        <f t="shared" si="5"/>
        <v>0</v>
      </c>
      <c r="E31" s="12">
        <f t="shared" si="5"/>
        <v>0</v>
      </c>
      <c r="F31" s="50">
        <f t="shared" si="5"/>
        <v>2888.0519999999997</v>
      </c>
      <c r="G31" s="50">
        <f t="shared" si="5"/>
        <v>2888.0519999999997</v>
      </c>
      <c r="H31" s="50">
        <f t="shared" si="5"/>
        <v>2888.0519999999997</v>
      </c>
      <c r="I31" s="50">
        <f t="shared" si="5"/>
        <v>2888.0519999999997</v>
      </c>
      <c r="J31" s="50">
        <f t="shared" si="5"/>
        <v>2888.0519999999997</v>
      </c>
      <c r="K31" s="50">
        <f t="shared" si="5"/>
        <v>2888.0519999999997</v>
      </c>
      <c r="L31" s="50">
        <f t="shared" si="5"/>
        <v>2888.0519999999997</v>
      </c>
      <c r="M31" s="50">
        <f t="shared" si="5"/>
        <v>2888.0519999999997</v>
      </c>
      <c r="N31" s="50">
        <f t="shared" si="5"/>
        <v>2888.0519999999997</v>
      </c>
      <c r="O31" s="50">
        <f t="shared" si="5"/>
        <v>2888.0519999999997</v>
      </c>
      <c r="P31" s="50">
        <f t="shared" si="5"/>
        <v>2888.0519999999997</v>
      </c>
      <c r="Q31" s="50">
        <f t="shared" si="5"/>
        <v>2124.5440000000003</v>
      </c>
      <c r="R31" s="50">
        <f t="shared" si="5"/>
        <v>2188.28032</v>
      </c>
      <c r="S31" s="50">
        <f t="shared" si="5"/>
        <v>2253.9287296</v>
      </c>
      <c r="T31" s="50">
        <f t="shared" si="5"/>
        <v>2321.5465914880006</v>
      </c>
      <c r="U31" s="50">
        <f t="shared" si="5"/>
        <v>2391.1929892326407</v>
      </c>
      <c r="V31" s="50">
        <f t="shared" si="5"/>
        <v>2462.9287789096197</v>
      </c>
      <c r="W31" s="50">
        <f t="shared" si="5"/>
        <v>2536.816642276908</v>
      </c>
      <c r="X31" s="50">
        <f t="shared" si="5"/>
        <v>2612.921141545216</v>
      </c>
      <c r="Y31" s="50">
        <f>SUM(Y28:Y30)</f>
        <v>2691.3087757915723</v>
      </c>
      <c r="Z31" s="50">
        <f>SUM(Z28:Z30)</f>
        <v>2079.0360292989894</v>
      </c>
    </row>
    <row r="32" spans="1:26" s="19" customFormat="1" ht="15.75" hidden="1">
      <c r="A32" s="12"/>
      <c r="B32" s="50"/>
      <c r="C32" s="50"/>
      <c r="D32" s="50"/>
      <c r="E32" s="12"/>
      <c r="F32" s="50"/>
      <c r="G32" s="50"/>
      <c r="H32" s="50"/>
      <c r="I32" s="50"/>
      <c r="J32" s="50"/>
      <c r="K32" s="50"/>
      <c r="L32" s="50"/>
      <c r="M32" s="50"/>
      <c r="N32" s="12"/>
      <c r="O32" s="12"/>
      <c r="P32" s="12"/>
      <c r="Q32" s="12"/>
      <c r="R32" s="12"/>
      <c r="S32" s="12"/>
      <c r="T32" s="12"/>
      <c r="U32" s="12"/>
      <c r="V32" s="12"/>
      <c r="W32" s="50"/>
      <c r="X32" s="50"/>
      <c r="Y32" s="50"/>
      <c r="Z32" s="50"/>
    </row>
    <row r="33" spans="1:26" s="19" customFormat="1" ht="15.75" hidden="1">
      <c r="A33" s="12"/>
      <c r="B33" s="50" t="s">
        <v>29</v>
      </c>
      <c r="C33" s="19">
        <v>0</v>
      </c>
      <c r="D33" s="50">
        <f>E33*D$25</f>
        <v>0</v>
      </c>
      <c r="E33" s="12"/>
      <c r="F33" s="50">
        <v>0</v>
      </c>
      <c r="G33" s="50">
        <v>0</v>
      </c>
      <c r="H33" s="50">
        <f>O11*D7/1000</f>
        <v>199.176</v>
      </c>
      <c r="I33" s="50">
        <f>H33*(1+$O9)</f>
        <v>205.15127999999999</v>
      </c>
      <c r="J33" s="50">
        <f aca="true" t="shared" si="6" ref="J33:Z33">I33*(1+$O9)</f>
        <v>211.3058184</v>
      </c>
      <c r="K33" s="50">
        <f t="shared" si="6"/>
        <v>217.644992952</v>
      </c>
      <c r="L33" s="50">
        <f t="shared" si="6"/>
        <v>224.17434274056</v>
      </c>
      <c r="M33" s="50">
        <f t="shared" si="6"/>
        <v>230.89957302277682</v>
      </c>
      <c r="N33" s="50">
        <f t="shared" si="6"/>
        <v>237.82656021346014</v>
      </c>
      <c r="O33" s="50">
        <f t="shared" si="6"/>
        <v>244.96135701986395</v>
      </c>
      <c r="P33" s="50">
        <f t="shared" si="6"/>
        <v>252.3101977304599</v>
      </c>
      <c r="Q33" s="50">
        <f t="shared" si="6"/>
        <v>259.8795036623737</v>
      </c>
      <c r="R33" s="50">
        <f t="shared" si="6"/>
        <v>267.6758887722449</v>
      </c>
      <c r="S33" s="50">
        <f t="shared" si="6"/>
        <v>275.70616543541223</v>
      </c>
      <c r="T33" s="50">
        <f t="shared" si="6"/>
        <v>283.9773503984746</v>
      </c>
      <c r="U33" s="50">
        <f t="shared" si="6"/>
        <v>292.4966709104288</v>
      </c>
      <c r="V33" s="50">
        <f t="shared" si="6"/>
        <v>301.2715710377417</v>
      </c>
      <c r="W33" s="50">
        <f t="shared" si="6"/>
        <v>310.3097181688739</v>
      </c>
      <c r="X33" s="50">
        <f t="shared" si="6"/>
        <v>319.61900971394016</v>
      </c>
      <c r="Y33" s="50">
        <f t="shared" si="6"/>
        <v>329.20758000535835</v>
      </c>
      <c r="Z33" s="50">
        <f t="shared" si="6"/>
        <v>339.0838074055191</v>
      </c>
    </row>
    <row r="34" spans="1:26" s="19" customFormat="1" ht="14.25" customHeight="1" hidden="1">
      <c r="A34" s="51"/>
      <c r="B34" s="50" t="s">
        <v>30</v>
      </c>
      <c r="C34" s="50"/>
      <c r="D34" s="50">
        <f>E34*D$25</f>
        <v>0</v>
      </c>
      <c r="E34" s="12"/>
      <c r="F34" s="50">
        <f>$O$10*$H$16</f>
        <v>89.8036</v>
      </c>
      <c r="G34" s="50">
        <f aca="true" t="shared" si="7" ref="G34:Z34">$O$10*$H$16</f>
        <v>89.8036</v>
      </c>
      <c r="H34" s="50">
        <f t="shared" si="7"/>
        <v>89.8036</v>
      </c>
      <c r="I34" s="50">
        <f t="shared" si="7"/>
        <v>89.8036</v>
      </c>
      <c r="J34" s="50">
        <f t="shared" si="7"/>
        <v>89.8036</v>
      </c>
      <c r="K34" s="50">
        <f t="shared" si="7"/>
        <v>89.8036</v>
      </c>
      <c r="L34" s="50">
        <f t="shared" si="7"/>
        <v>89.8036</v>
      </c>
      <c r="M34" s="50">
        <f t="shared" si="7"/>
        <v>89.8036</v>
      </c>
      <c r="N34" s="50">
        <f t="shared" si="7"/>
        <v>89.8036</v>
      </c>
      <c r="O34" s="50">
        <f t="shared" si="7"/>
        <v>89.8036</v>
      </c>
      <c r="P34" s="50">
        <f t="shared" si="7"/>
        <v>89.8036</v>
      </c>
      <c r="Q34" s="50">
        <f t="shared" si="7"/>
        <v>89.8036</v>
      </c>
      <c r="R34" s="50">
        <f t="shared" si="7"/>
        <v>89.8036</v>
      </c>
      <c r="S34" s="50">
        <f t="shared" si="7"/>
        <v>89.8036</v>
      </c>
      <c r="T34" s="50">
        <f t="shared" si="7"/>
        <v>89.8036</v>
      </c>
      <c r="U34" s="50">
        <f t="shared" si="7"/>
        <v>89.8036</v>
      </c>
      <c r="V34" s="50">
        <f t="shared" si="7"/>
        <v>89.8036</v>
      </c>
      <c r="W34" s="50">
        <f t="shared" si="7"/>
        <v>89.8036</v>
      </c>
      <c r="X34" s="50">
        <f t="shared" si="7"/>
        <v>89.8036</v>
      </c>
      <c r="Y34" s="50">
        <f t="shared" si="7"/>
        <v>89.8036</v>
      </c>
      <c r="Z34" s="50">
        <f t="shared" si="7"/>
        <v>89.8036</v>
      </c>
    </row>
    <row r="35" spans="1:26" s="94" customFormat="1" ht="14.25" customHeight="1" hidden="1">
      <c r="A35" s="92"/>
      <c r="B35" s="93" t="s">
        <v>31</v>
      </c>
      <c r="C35" s="93">
        <v>0</v>
      </c>
      <c r="D35" s="93">
        <f>E35*D$25</f>
        <v>0</v>
      </c>
      <c r="E35" s="93"/>
      <c r="F35" s="93">
        <f>38*D6/15.6466</f>
        <v>29.14371173290044</v>
      </c>
      <c r="G35" s="93">
        <f>F35*(1+$O$9)</f>
        <v>30.018023084887453</v>
      </c>
      <c r="H35" s="93">
        <f aca="true" t="shared" si="8" ref="H35:Z35">G35*(1+$O$9)</f>
        <v>30.918563777434077</v>
      </c>
      <c r="I35" s="93">
        <f t="shared" si="8"/>
        <v>31.8461206907571</v>
      </c>
      <c r="J35" s="93">
        <f t="shared" si="8"/>
        <v>32.80150431147982</v>
      </c>
      <c r="K35" s="93">
        <f t="shared" si="8"/>
        <v>33.78554944082421</v>
      </c>
      <c r="L35" s="93">
        <f t="shared" si="8"/>
        <v>34.79911592404894</v>
      </c>
      <c r="M35" s="93">
        <f t="shared" si="8"/>
        <v>35.84308940177041</v>
      </c>
      <c r="N35" s="93">
        <f t="shared" si="8"/>
        <v>36.91838208382352</v>
      </c>
      <c r="O35" s="93">
        <f t="shared" si="8"/>
        <v>38.02593354633823</v>
      </c>
      <c r="P35" s="93">
        <f t="shared" si="8"/>
        <v>39.16671155272838</v>
      </c>
      <c r="Q35" s="93">
        <f t="shared" si="8"/>
        <v>40.34171289931023</v>
      </c>
      <c r="R35" s="93">
        <f t="shared" si="8"/>
        <v>41.55196428628954</v>
      </c>
      <c r="S35" s="93">
        <f t="shared" si="8"/>
        <v>42.79852321487823</v>
      </c>
      <c r="T35" s="93">
        <f t="shared" si="8"/>
        <v>44.08247891132458</v>
      </c>
      <c r="U35" s="93">
        <f t="shared" si="8"/>
        <v>45.404953278664316</v>
      </c>
      <c r="V35" s="93">
        <f t="shared" si="8"/>
        <v>46.767101877024245</v>
      </c>
      <c r="W35" s="93">
        <f t="shared" si="8"/>
        <v>48.17011493333497</v>
      </c>
      <c r="X35" s="93">
        <f t="shared" si="8"/>
        <v>49.61521838133502</v>
      </c>
      <c r="Y35" s="93">
        <f t="shared" si="8"/>
        <v>51.10367493277507</v>
      </c>
      <c r="Z35" s="93">
        <f t="shared" si="8"/>
        <v>52.636785180758324</v>
      </c>
    </row>
    <row r="36" spans="1:26" s="94" customFormat="1" ht="15.75" hidden="1">
      <c r="A36" s="93"/>
      <c r="B36" s="93" t="s">
        <v>32</v>
      </c>
      <c r="D36" s="93">
        <f>E36*D$25</f>
        <v>0</v>
      </c>
      <c r="E36" s="93"/>
      <c r="F36" s="93">
        <v>3</v>
      </c>
      <c r="G36" s="93">
        <f>F36*(1+$O$9)</f>
        <v>3.09</v>
      </c>
      <c r="H36" s="93">
        <f aca="true" t="shared" si="9" ref="H36:Z36">G36*(1+$O$9)</f>
        <v>3.1827</v>
      </c>
      <c r="I36" s="93">
        <f t="shared" si="9"/>
        <v>3.278181</v>
      </c>
      <c r="J36" s="93">
        <f t="shared" si="9"/>
        <v>3.37652643</v>
      </c>
      <c r="K36" s="93">
        <f t="shared" si="9"/>
        <v>3.4778222229000004</v>
      </c>
      <c r="L36" s="93">
        <f t="shared" si="9"/>
        <v>3.5821568895870004</v>
      </c>
      <c r="M36" s="93">
        <f t="shared" si="9"/>
        <v>3.6896215962746104</v>
      </c>
      <c r="N36" s="93">
        <f t="shared" si="9"/>
        <v>3.8003102441628487</v>
      </c>
      <c r="O36" s="93">
        <f t="shared" si="9"/>
        <v>3.914319551487734</v>
      </c>
      <c r="P36" s="93">
        <f t="shared" si="9"/>
        <v>4.0317491380323665</v>
      </c>
      <c r="Q36" s="93">
        <f t="shared" si="9"/>
        <v>4.152701612173337</v>
      </c>
      <c r="R36" s="93">
        <f t="shared" si="9"/>
        <v>4.277282660538537</v>
      </c>
      <c r="S36" s="93">
        <f t="shared" si="9"/>
        <v>4.405601140354693</v>
      </c>
      <c r="T36" s="93">
        <f t="shared" si="9"/>
        <v>4.537769174565334</v>
      </c>
      <c r="U36" s="93">
        <f t="shared" si="9"/>
        <v>4.6739022498022935</v>
      </c>
      <c r="V36" s="93">
        <f t="shared" si="9"/>
        <v>4.814119317296362</v>
      </c>
      <c r="W36" s="93">
        <f t="shared" si="9"/>
        <v>4.958542896815254</v>
      </c>
      <c r="X36" s="93">
        <f t="shared" si="9"/>
        <v>5.107299183719712</v>
      </c>
      <c r="Y36" s="93">
        <f t="shared" si="9"/>
        <v>5.260518159231303</v>
      </c>
      <c r="Z36" s="93">
        <f t="shared" si="9"/>
        <v>5.418333704008242</v>
      </c>
    </row>
    <row r="37" spans="1:26" s="94" customFormat="1" ht="14.25" customHeight="1" hidden="1">
      <c r="A37" s="92"/>
      <c r="B37" s="93" t="s">
        <v>33</v>
      </c>
      <c r="C37" s="93"/>
      <c r="D37" s="93">
        <f>D31*$O12</f>
        <v>0</v>
      </c>
      <c r="E37" s="93"/>
      <c r="F37" s="93">
        <f>F31*O12</f>
        <v>86.64155999999998</v>
      </c>
      <c r="G37" s="93">
        <f>F37*(1+$O$9)</f>
        <v>89.24080679999999</v>
      </c>
      <c r="H37" s="93">
        <f aca="true" t="shared" si="10" ref="H37:Z37">G37*(1+$O$9)</f>
        <v>91.91803100399999</v>
      </c>
      <c r="I37" s="93">
        <f t="shared" si="10"/>
        <v>94.67557193411999</v>
      </c>
      <c r="J37" s="93">
        <f t="shared" si="10"/>
        <v>97.5158390921436</v>
      </c>
      <c r="K37" s="93">
        <f t="shared" si="10"/>
        <v>100.4413142649079</v>
      </c>
      <c r="L37" s="93">
        <f t="shared" si="10"/>
        <v>103.45455369285514</v>
      </c>
      <c r="M37" s="93">
        <f t="shared" si="10"/>
        <v>106.5581903036408</v>
      </c>
      <c r="N37" s="93">
        <f t="shared" si="10"/>
        <v>109.75493601275002</v>
      </c>
      <c r="O37" s="93">
        <f t="shared" si="10"/>
        <v>113.04758409313253</v>
      </c>
      <c r="P37" s="93">
        <f t="shared" si="10"/>
        <v>116.4390116159265</v>
      </c>
      <c r="Q37" s="93">
        <f t="shared" si="10"/>
        <v>119.93218196440431</v>
      </c>
      <c r="R37" s="93">
        <f t="shared" si="10"/>
        <v>123.53014742333644</v>
      </c>
      <c r="S37" s="93">
        <f t="shared" si="10"/>
        <v>127.23605184603655</v>
      </c>
      <c r="T37" s="93">
        <f t="shared" si="10"/>
        <v>131.05313340141765</v>
      </c>
      <c r="U37" s="93">
        <f t="shared" si="10"/>
        <v>134.9847274034602</v>
      </c>
      <c r="V37" s="93">
        <f t="shared" si="10"/>
        <v>139.034269225564</v>
      </c>
      <c r="W37" s="93">
        <f t="shared" si="10"/>
        <v>143.20529730233093</v>
      </c>
      <c r="X37" s="93">
        <f t="shared" si="10"/>
        <v>147.50145622140087</v>
      </c>
      <c r="Y37" s="93">
        <f t="shared" si="10"/>
        <v>151.9264999080429</v>
      </c>
      <c r="Z37" s="93">
        <f t="shared" si="10"/>
        <v>156.4842949052842</v>
      </c>
    </row>
    <row r="38" spans="1:26" s="19" customFormat="1" ht="14.25" customHeight="1" hidden="1">
      <c r="A38" s="51"/>
      <c r="B38" s="50" t="s">
        <v>34</v>
      </c>
      <c r="C38" s="50"/>
      <c r="D38" s="50">
        <f>E38*D$25</f>
        <v>0</v>
      </c>
      <c r="E38" s="12"/>
      <c r="F38" s="50">
        <v>0</v>
      </c>
      <c r="G38" s="93">
        <f aca="true" t="shared" si="11" ref="G38:V39">F38*(1+$O$9)</f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</row>
    <row r="39" spans="1:26" s="19" customFormat="1" ht="14.25" customHeight="1" hidden="1">
      <c r="A39" s="51"/>
      <c r="B39" s="50" t="s">
        <v>35</v>
      </c>
      <c r="C39" s="50"/>
      <c r="D39" s="50">
        <f>E39*D$25</f>
        <v>0</v>
      </c>
      <c r="E39" s="12"/>
      <c r="F39" s="50">
        <v>30</v>
      </c>
      <c r="G39" s="93">
        <f t="shared" si="11"/>
        <v>30.900000000000002</v>
      </c>
      <c r="H39" s="93">
        <f t="shared" si="11"/>
        <v>31.827</v>
      </c>
      <c r="I39" s="93">
        <f t="shared" si="11"/>
        <v>32.78181</v>
      </c>
      <c r="J39" s="93">
        <f t="shared" si="11"/>
        <v>33.7652643</v>
      </c>
      <c r="K39" s="93">
        <f t="shared" si="11"/>
        <v>34.778222229</v>
      </c>
      <c r="L39" s="93">
        <f t="shared" si="11"/>
        <v>35.82156889587</v>
      </c>
      <c r="M39" s="93">
        <f t="shared" si="11"/>
        <v>36.896215962746105</v>
      </c>
      <c r="N39" s="93">
        <f t="shared" si="11"/>
        <v>38.00310244162849</v>
      </c>
      <c r="O39" s="93">
        <f t="shared" si="11"/>
        <v>39.14319551487735</v>
      </c>
      <c r="P39" s="93">
        <f t="shared" si="11"/>
        <v>40.317491380323666</v>
      </c>
      <c r="Q39" s="93">
        <f t="shared" si="11"/>
        <v>41.527016121733375</v>
      </c>
      <c r="R39" s="93">
        <f t="shared" si="11"/>
        <v>42.772826605385376</v>
      </c>
      <c r="S39" s="93">
        <f t="shared" si="11"/>
        <v>44.05601140354694</v>
      </c>
      <c r="T39" s="93">
        <f t="shared" si="11"/>
        <v>45.37769174565335</v>
      </c>
      <c r="U39" s="93">
        <f t="shared" si="11"/>
        <v>46.739022498022955</v>
      </c>
      <c r="V39" s="93">
        <f t="shared" si="11"/>
        <v>48.141193172963646</v>
      </c>
      <c r="W39" s="93">
        <f>V39*(1+$O$9)</f>
        <v>49.585428968152556</v>
      </c>
      <c r="X39" s="93">
        <f>W39*(1+$O$9)</f>
        <v>51.07299183719714</v>
      </c>
      <c r="Y39" s="93">
        <f>X39*(1+$O$9)</f>
        <v>52.60518159231305</v>
      </c>
      <c r="Z39" s="93">
        <f>Y39*(1+$O$9)</f>
        <v>54.18333704008244</v>
      </c>
    </row>
    <row r="40" spans="1:26" s="19" customFormat="1" ht="15.75">
      <c r="A40" s="51"/>
      <c r="B40" s="50"/>
      <c r="D40" s="50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s="19" customFormat="1" ht="15.75">
      <c r="A41" s="12"/>
      <c r="B41" s="52" t="s">
        <v>36</v>
      </c>
      <c r="C41" s="52"/>
      <c r="D41" s="52">
        <f aca="true" t="shared" si="12" ref="D41:X41">+D31-SUM(D33:D40)</f>
        <v>0</v>
      </c>
      <c r="E41" s="27">
        <f t="shared" si="12"/>
        <v>0</v>
      </c>
      <c r="F41" s="52">
        <f t="shared" si="12"/>
        <v>2649.4631282670994</v>
      </c>
      <c r="G41" s="52">
        <f t="shared" si="12"/>
        <v>2644.9995701151124</v>
      </c>
      <c r="H41" s="52">
        <f t="shared" si="12"/>
        <v>2441.2261052185654</v>
      </c>
      <c r="I41" s="52">
        <f t="shared" si="12"/>
        <v>2430.5154363751226</v>
      </c>
      <c r="J41" s="52">
        <f t="shared" si="12"/>
        <v>2419.483447466376</v>
      </c>
      <c r="K41" s="52">
        <f t="shared" si="12"/>
        <v>2408.1204988903673</v>
      </c>
      <c r="L41" s="52">
        <f t="shared" si="12"/>
        <v>2396.4166618570785</v>
      </c>
      <c r="M41" s="52">
        <f t="shared" si="12"/>
        <v>2384.361709712791</v>
      </c>
      <c r="N41" s="52">
        <f t="shared" si="12"/>
        <v>2371.945109004175</v>
      </c>
      <c r="O41" s="52">
        <f t="shared" si="12"/>
        <v>2359.1560102742997</v>
      </c>
      <c r="P41" s="52">
        <f t="shared" si="12"/>
        <v>2345.983238582529</v>
      </c>
      <c r="Q41" s="52">
        <f t="shared" si="12"/>
        <v>1568.9072837400054</v>
      </c>
      <c r="R41" s="52">
        <f t="shared" si="12"/>
        <v>1618.6686102522049</v>
      </c>
      <c r="S41" s="52">
        <f t="shared" si="12"/>
        <v>1669.9227765597716</v>
      </c>
      <c r="T41" s="52">
        <f t="shared" si="12"/>
        <v>1722.714567856565</v>
      </c>
      <c r="U41" s="52">
        <f t="shared" si="12"/>
        <v>1777.0901128922621</v>
      </c>
      <c r="V41" s="52">
        <f t="shared" si="12"/>
        <v>1833.0969242790297</v>
      </c>
      <c r="W41" s="52">
        <f t="shared" si="12"/>
        <v>1890.7839400074006</v>
      </c>
      <c r="X41" s="52">
        <f t="shared" si="12"/>
        <v>1950.201566207623</v>
      </c>
      <c r="Y41" s="52">
        <f>+Y31-SUM(Y33:Y40)</f>
        <v>2011.4017211938517</v>
      </c>
      <c r="Z41" s="52">
        <f>+Z31-SUM(Z33:Z40)</f>
        <v>1381.4258710633371</v>
      </c>
    </row>
    <row r="42" spans="1:26" s="19" customFormat="1" ht="15.75">
      <c r="A42" s="12"/>
      <c r="B42" s="50"/>
      <c r="C42" s="50">
        <f>-D12*0.5</f>
        <v>-11225.45</v>
      </c>
      <c r="D42" s="12"/>
      <c r="E42" s="12">
        <f>E41-D14</f>
        <v>-22450.9</v>
      </c>
      <c r="F42" s="12">
        <f>F41</f>
        <v>2649.4631282670994</v>
      </c>
      <c r="G42" s="12">
        <f aca="true" t="shared" si="13" ref="G42:Z42">G41</f>
        <v>2644.9995701151124</v>
      </c>
      <c r="H42" s="12">
        <f t="shared" si="13"/>
        <v>2441.2261052185654</v>
      </c>
      <c r="I42" s="12">
        <f t="shared" si="13"/>
        <v>2430.5154363751226</v>
      </c>
      <c r="J42" s="12">
        <f t="shared" si="13"/>
        <v>2419.483447466376</v>
      </c>
      <c r="K42" s="12">
        <f t="shared" si="13"/>
        <v>2408.1204988903673</v>
      </c>
      <c r="L42" s="12">
        <f t="shared" si="13"/>
        <v>2396.4166618570785</v>
      </c>
      <c r="M42" s="12">
        <f t="shared" si="13"/>
        <v>2384.361709712791</v>
      </c>
      <c r="N42" s="12">
        <f t="shared" si="13"/>
        <v>2371.945109004175</v>
      </c>
      <c r="O42" s="12">
        <f t="shared" si="13"/>
        <v>2359.1560102742997</v>
      </c>
      <c r="P42" s="12">
        <f t="shared" si="13"/>
        <v>2345.983238582529</v>
      </c>
      <c r="Q42" s="12">
        <f t="shared" si="13"/>
        <v>1568.9072837400054</v>
      </c>
      <c r="R42" s="12">
        <f t="shared" si="13"/>
        <v>1618.6686102522049</v>
      </c>
      <c r="S42" s="12">
        <f t="shared" si="13"/>
        <v>1669.9227765597716</v>
      </c>
      <c r="T42" s="12">
        <f t="shared" si="13"/>
        <v>1722.714567856565</v>
      </c>
      <c r="U42" s="12">
        <f t="shared" si="13"/>
        <v>1777.0901128922621</v>
      </c>
      <c r="V42" s="12">
        <f t="shared" si="13"/>
        <v>1833.0969242790297</v>
      </c>
      <c r="W42" s="12">
        <f t="shared" si="13"/>
        <v>1890.7839400074006</v>
      </c>
      <c r="X42" s="12">
        <f t="shared" si="13"/>
        <v>1950.201566207623</v>
      </c>
      <c r="Y42" s="12">
        <f t="shared" si="13"/>
        <v>2011.4017211938517</v>
      </c>
      <c r="Z42" s="12">
        <f t="shared" si="13"/>
        <v>1381.4258710633371</v>
      </c>
    </row>
    <row r="43" spans="1:26" s="19" customFormat="1" ht="15.75">
      <c r="A43" s="12"/>
      <c r="B43" s="50"/>
      <c r="C43" s="50"/>
      <c r="D43" s="50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s="19" customFormat="1" ht="15.75">
      <c r="A44" s="12"/>
      <c r="B44" s="50" t="s">
        <v>37</v>
      </c>
      <c r="C44" s="50">
        <v>0</v>
      </c>
      <c r="D44" s="50">
        <f>E44*D$25</f>
        <v>0</v>
      </c>
      <c r="E44" s="12"/>
      <c r="F44" s="50">
        <f>$D12*$D10</f>
        <v>1122.545</v>
      </c>
      <c r="G44" s="50">
        <f>$D12*$D10</f>
        <v>1122.545</v>
      </c>
      <c r="H44" s="50">
        <f>$D12*$D10</f>
        <v>1122.545</v>
      </c>
      <c r="I44" s="50">
        <f>$D12*$D10</f>
        <v>1122.545</v>
      </c>
      <c r="J44" s="50">
        <f aca="true" t="shared" si="14" ref="J44:W44">$D12*$D10</f>
        <v>1122.545</v>
      </c>
      <c r="K44" s="50">
        <f t="shared" si="14"/>
        <v>1122.545</v>
      </c>
      <c r="L44" s="50">
        <f t="shared" si="14"/>
        <v>1122.545</v>
      </c>
      <c r="M44" s="50">
        <f t="shared" si="14"/>
        <v>1122.545</v>
      </c>
      <c r="N44" s="50">
        <f t="shared" si="14"/>
        <v>1122.545</v>
      </c>
      <c r="O44" s="50">
        <f t="shared" si="14"/>
        <v>1122.545</v>
      </c>
      <c r="P44" s="50">
        <f t="shared" si="14"/>
        <v>1122.545</v>
      </c>
      <c r="Q44" s="50">
        <f t="shared" si="14"/>
        <v>1122.545</v>
      </c>
      <c r="R44" s="50">
        <f t="shared" si="14"/>
        <v>1122.545</v>
      </c>
      <c r="S44" s="50">
        <f t="shared" si="14"/>
        <v>1122.545</v>
      </c>
      <c r="T44" s="50">
        <f t="shared" si="14"/>
        <v>1122.545</v>
      </c>
      <c r="U44" s="50">
        <f t="shared" si="14"/>
        <v>1122.545</v>
      </c>
      <c r="V44" s="50">
        <f t="shared" si="14"/>
        <v>1122.545</v>
      </c>
      <c r="W44" s="50">
        <f t="shared" si="14"/>
        <v>1122.545</v>
      </c>
      <c r="X44" s="50">
        <f>W44*X$25</f>
        <v>1122.545</v>
      </c>
      <c r="Y44" s="50">
        <f>X44*Y$25</f>
        <v>1122.545</v>
      </c>
      <c r="Z44" s="50">
        <f>Y44*Z$25</f>
        <v>841.90875</v>
      </c>
    </row>
    <row r="45" spans="1:26" s="19" customFormat="1" ht="15.75" hidden="1">
      <c r="A45" s="12"/>
      <c r="B45" s="50"/>
      <c r="C45" s="50"/>
      <c r="D45" s="50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s="19" customFormat="1" ht="15.75">
      <c r="A46" s="12"/>
      <c r="B46" s="50" t="s">
        <v>38</v>
      </c>
      <c r="C46" s="50"/>
      <c r="D46" s="50">
        <f>-D61</f>
        <v>0</v>
      </c>
      <c r="E46" s="50">
        <f aca="true" t="shared" si="15" ref="E46:X46">-E61</f>
        <v>0</v>
      </c>
      <c r="F46" s="50">
        <f t="shared" si="15"/>
        <v>1431.2448749999999</v>
      </c>
      <c r="G46" s="50">
        <f t="shared" si="15"/>
        <v>1412.5984008748535</v>
      </c>
      <c r="H46" s="50">
        <f t="shared" si="15"/>
        <v>1334.4501195917246</v>
      </c>
      <c r="I46" s="50">
        <f t="shared" si="15"/>
        <v>1250.2738029723143</v>
      </c>
      <c r="J46" s="50">
        <f t="shared" si="15"/>
        <v>1159.6044732919838</v>
      </c>
      <c r="K46" s="50">
        <f t="shared" si="15"/>
        <v>1061.9412863667337</v>
      </c>
      <c r="L46" s="50">
        <f t="shared" si="15"/>
        <v>956.7447649628102</v>
      </c>
      <c r="M46" s="50">
        <f t="shared" si="15"/>
        <v>843.4338188029624</v>
      </c>
      <c r="N46" s="50">
        <f t="shared" si="15"/>
        <v>721.3825347083055</v>
      </c>
      <c r="O46" s="50">
        <f t="shared" si="15"/>
        <v>589.9167191449959</v>
      </c>
      <c r="P46" s="50">
        <f t="shared" si="15"/>
        <v>448.31017407725136</v>
      </c>
      <c r="Q46" s="50">
        <f t="shared" si="15"/>
        <v>295.78068555506906</v>
      </c>
      <c r="R46" s="50">
        <f t="shared" si="15"/>
        <v>131.48570287818464</v>
      </c>
      <c r="S46" s="50">
        <f t="shared" si="15"/>
        <v>0</v>
      </c>
      <c r="T46" s="50">
        <f t="shared" si="15"/>
        <v>0</v>
      </c>
      <c r="U46" s="50">
        <f t="shared" si="15"/>
        <v>0</v>
      </c>
      <c r="V46" s="50">
        <f t="shared" si="15"/>
        <v>0</v>
      </c>
      <c r="W46" s="50">
        <f t="shared" si="15"/>
        <v>0</v>
      </c>
      <c r="X46" s="50">
        <f t="shared" si="15"/>
        <v>0</v>
      </c>
      <c r="Y46" s="50">
        <f>-Y61</f>
        <v>0</v>
      </c>
      <c r="Z46" s="50">
        <f>-Z61</f>
        <v>0</v>
      </c>
    </row>
    <row r="47" spans="1:26" s="19" customFormat="1" ht="15.75" hidden="1">
      <c r="A47" s="12"/>
      <c r="B47" s="50"/>
      <c r="C47" s="50"/>
      <c r="D47" s="50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s="19" customFormat="1" ht="15" customHeight="1">
      <c r="A48" s="12"/>
      <c r="B48" s="52" t="s">
        <v>39</v>
      </c>
      <c r="C48" s="52">
        <f>-C44-C46</f>
        <v>0</v>
      </c>
      <c r="D48" s="52">
        <f aca="true" t="shared" si="16" ref="D48:W48">+D41-D44-D46</f>
        <v>0</v>
      </c>
      <c r="E48" s="27">
        <f t="shared" si="16"/>
        <v>0</v>
      </c>
      <c r="F48" s="52">
        <f t="shared" si="16"/>
        <v>95.67325326709943</v>
      </c>
      <c r="G48" s="52">
        <f t="shared" si="16"/>
        <v>109.85616924025885</v>
      </c>
      <c r="H48" s="52">
        <f t="shared" si="16"/>
        <v>-15.76901437315928</v>
      </c>
      <c r="I48" s="52">
        <f t="shared" si="16"/>
        <v>57.696633402808175</v>
      </c>
      <c r="J48" s="52">
        <f t="shared" si="16"/>
        <v>137.33397417439232</v>
      </c>
      <c r="K48" s="52">
        <f t="shared" si="16"/>
        <v>223.63421252363355</v>
      </c>
      <c r="L48" s="52">
        <f t="shared" si="16"/>
        <v>317.12689689426816</v>
      </c>
      <c r="M48" s="52">
        <f t="shared" si="16"/>
        <v>418.38289090982835</v>
      </c>
      <c r="N48" s="52">
        <f t="shared" si="16"/>
        <v>528.0175742958693</v>
      </c>
      <c r="O48" s="52">
        <f t="shared" si="16"/>
        <v>646.6942911293037</v>
      </c>
      <c r="P48" s="52">
        <f t="shared" si="16"/>
        <v>775.1280645052775</v>
      </c>
      <c r="Q48" s="52">
        <f t="shared" si="16"/>
        <v>150.58159818493624</v>
      </c>
      <c r="R48" s="52">
        <f t="shared" si="16"/>
        <v>364.6379073740202</v>
      </c>
      <c r="S48" s="52">
        <f t="shared" si="16"/>
        <v>547.3777765597715</v>
      </c>
      <c r="T48" s="52">
        <f t="shared" si="16"/>
        <v>600.169567856565</v>
      </c>
      <c r="U48" s="52">
        <f t="shared" si="16"/>
        <v>654.5451128922621</v>
      </c>
      <c r="V48" s="52">
        <f t="shared" si="16"/>
        <v>710.5519242790297</v>
      </c>
      <c r="W48" s="52">
        <f t="shared" si="16"/>
        <v>768.2389400074005</v>
      </c>
      <c r="X48" s="52">
        <f>+X41-X44-X46</f>
        <v>827.656566207623</v>
      </c>
      <c r="Y48" s="52">
        <f>+Y41-Y44-Y46</f>
        <v>888.8567211938516</v>
      </c>
      <c r="Z48" s="52">
        <f>+Z41-Z44-Z46</f>
        <v>539.5171210633371</v>
      </c>
    </row>
    <row r="49" spans="1:26" s="19" customFormat="1" ht="13.5" customHeight="1" hidden="1">
      <c r="A49" s="12"/>
      <c r="B49" s="50"/>
      <c r="C49" s="50"/>
      <c r="D49" s="50"/>
      <c r="E49" s="12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s="19" customFormat="1" ht="15.75" customHeight="1" hidden="1">
      <c r="A50" s="12"/>
      <c r="B50" s="50" t="s">
        <v>40</v>
      </c>
      <c r="C50" s="50">
        <v>0</v>
      </c>
      <c r="D50" s="50">
        <f>MAX(0,D48*20%)</f>
        <v>0</v>
      </c>
      <c r="E50" s="50">
        <f aca="true" t="shared" si="17" ref="E50:Z50">MAX(0,E48*20%)</f>
        <v>0</v>
      </c>
      <c r="F50" s="50">
        <f t="shared" si="17"/>
        <v>19.134650653419886</v>
      </c>
      <c r="G50" s="50">
        <f t="shared" si="17"/>
        <v>21.97123384805177</v>
      </c>
      <c r="H50" s="50">
        <f t="shared" si="17"/>
        <v>0</v>
      </c>
      <c r="I50" s="50">
        <f t="shared" si="17"/>
        <v>11.539326680561636</v>
      </c>
      <c r="J50" s="50">
        <f t="shared" si="17"/>
        <v>27.466794834878467</v>
      </c>
      <c r="K50" s="50">
        <f t="shared" si="17"/>
        <v>44.72684250472671</v>
      </c>
      <c r="L50" s="50">
        <f t="shared" si="17"/>
        <v>63.425379378853634</v>
      </c>
      <c r="M50" s="50">
        <f t="shared" si="17"/>
        <v>83.67657818196568</v>
      </c>
      <c r="N50" s="50">
        <f t="shared" si="17"/>
        <v>105.60351485917386</v>
      </c>
      <c r="O50" s="50">
        <f t="shared" si="17"/>
        <v>129.33885822586075</v>
      </c>
      <c r="P50" s="50">
        <f t="shared" si="17"/>
        <v>155.02561290105552</v>
      </c>
      <c r="Q50" s="50">
        <f t="shared" si="17"/>
        <v>30.11631963698725</v>
      </c>
      <c r="R50" s="50">
        <f t="shared" si="17"/>
        <v>72.92758147480404</v>
      </c>
      <c r="S50" s="50">
        <f t="shared" si="17"/>
        <v>109.47555531195431</v>
      </c>
      <c r="T50" s="50">
        <f t="shared" si="17"/>
        <v>120.03391357131301</v>
      </c>
      <c r="U50" s="50">
        <f t="shared" si="17"/>
        <v>130.9090225784524</v>
      </c>
      <c r="V50" s="50">
        <f t="shared" si="17"/>
        <v>142.11038485580593</v>
      </c>
      <c r="W50" s="50">
        <f t="shared" si="17"/>
        <v>153.6477880014801</v>
      </c>
      <c r="X50" s="50">
        <f t="shared" si="17"/>
        <v>165.5313132415246</v>
      </c>
      <c r="Y50" s="50">
        <f t="shared" si="17"/>
        <v>177.77134423877033</v>
      </c>
      <c r="Z50" s="50">
        <f t="shared" si="17"/>
        <v>107.90342421266742</v>
      </c>
    </row>
    <row r="51" spans="1:26" s="19" customFormat="1" ht="15.75" customHeight="1" hidden="1">
      <c r="A51" s="12"/>
      <c r="B51" s="50" t="s">
        <v>63</v>
      </c>
      <c r="C51" s="50">
        <f>IF(+C48-C50&gt;0,(+C48-C50)*0.05,0)</f>
        <v>0</v>
      </c>
      <c r="D51" s="50">
        <f>IF(+D48-D50&gt;0,(+D48-D50)*0.05,0)</f>
        <v>0</v>
      </c>
      <c r="E51" s="50">
        <f aca="true" t="shared" si="18" ref="E51:X51">IF(+E48-E50&gt;0,(+E48-E50)*0.05,0)</f>
        <v>0</v>
      </c>
      <c r="F51" s="50">
        <f t="shared" si="18"/>
        <v>3.8269301306839774</v>
      </c>
      <c r="G51" s="50">
        <f t="shared" si="18"/>
        <v>4.394246769610354</v>
      </c>
      <c r="H51" s="50">
        <f t="shared" si="18"/>
        <v>0</v>
      </c>
      <c r="I51" s="50">
        <f t="shared" si="18"/>
        <v>2.307865336112327</v>
      </c>
      <c r="J51" s="50">
        <f t="shared" si="18"/>
        <v>5.493358966975693</v>
      </c>
      <c r="K51" s="50">
        <f t="shared" si="18"/>
        <v>8.945368500945342</v>
      </c>
      <c r="L51" s="50">
        <f t="shared" si="18"/>
        <v>12.685075875770728</v>
      </c>
      <c r="M51" s="50">
        <f t="shared" si="18"/>
        <v>16.735315636393135</v>
      </c>
      <c r="N51" s="50">
        <f t="shared" si="18"/>
        <v>21.120702971834774</v>
      </c>
      <c r="O51" s="50">
        <f t="shared" si="18"/>
        <v>25.86777164517215</v>
      </c>
      <c r="P51" s="50">
        <f t="shared" si="18"/>
        <v>31.0051225802111</v>
      </c>
      <c r="Q51" s="50">
        <f t="shared" si="18"/>
        <v>6.02326392739745</v>
      </c>
      <c r="R51" s="50">
        <f t="shared" si="18"/>
        <v>14.58551629496081</v>
      </c>
      <c r="S51" s="50">
        <f t="shared" si="18"/>
        <v>21.895111062390864</v>
      </c>
      <c r="T51" s="50">
        <f t="shared" si="18"/>
        <v>24.0067827142626</v>
      </c>
      <c r="U51" s="50">
        <f t="shared" si="18"/>
        <v>26.181804515690484</v>
      </c>
      <c r="V51" s="50">
        <f t="shared" si="18"/>
        <v>28.42207697116119</v>
      </c>
      <c r="W51" s="50">
        <f t="shared" si="18"/>
        <v>30.729557600296022</v>
      </c>
      <c r="X51" s="50">
        <f t="shared" si="18"/>
        <v>33.10626264830492</v>
      </c>
      <c r="Y51" s="50">
        <f>IF(+Y48-Y50&gt;0,(+Y48-Y50)*0.05,0)</f>
        <v>35.55426884775407</v>
      </c>
      <c r="Z51" s="50">
        <f>IF(+Z48-Z50&gt;0,(+Z48-Z50)*0.05,0)</f>
        <v>21.580684842533486</v>
      </c>
    </row>
    <row r="52" spans="1:26" s="19" customFormat="1" ht="16.5" thickBot="1">
      <c r="A52" s="12"/>
      <c r="B52" s="53" t="s">
        <v>41</v>
      </c>
      <c r="C52" s="53">
        <f>+C48-C50-C51</f>
        <v>0</v>
      </c>
      <c r="D52" s="53">
        <f>+D48-D50-D51</f>
        <v>0</v>
      </c>
      <c r="E52" s="53">
        <f aca="true" t="shared" si="19" ref="E52:X52">+E48-E50-E51</f>
        <v>0</v>
      </c>
      <c r="F52" s="53">
        <f t="shared" si="19"/>
        <v>72.71167248299557</v>
      </c>
      <c r="G52" s="53">
        <f t="shared" si="19"/>
        <v>83.49068862259674</v>
      </c>
      <c r="H52" s="53">
        <f t="shared" si="19"/>
        <v>-15.76901437315928</v>
      </c>
      <c r="I52" s="53">
        <f t="shared" si="19"/>
        <v>43.84944138613421</v>
      </c>
      <c r="J52" s="53">
        <f t="shared" si="19"/>
        <v>104.37382037253816</v>
      </c>
      <c r="K52" s="53">
        <f t="shared" si="19"/>
        <v>169.9620015179615</v>
      </c>
      <c r="L52" s="53">
        <f t="shared" si="19"/>
        <v>241.0164416396438</v>
      </c>
      <c r="M52" s="53">
        <f t="shared" si="19"/>
        <v>317.97099709146954</v>
      </c>
      <c r="N52" s="53">
        <f t="shared" si="19"/>
        <v>401.29335646486066</v>
      </c>
      <c r="O52" s="53">
        <f t="shared" si="19"/>
        <v>491.48766125827086</v>
      </c>
      <c r="P52" s="53">
        <f t="shared" si="19"/>
        <v>589.0973290240108</v>
      </c>
      <c r="Q52" s="53">
        <f t="shared" si="19"/>
        <v>114.44201462055155</v>
      </c>
      <c r="R52" s="53">
        <f t="shared" si="19"/>
        <v>277.12480960425535</v>
      </c>
      <c r="S52" s="53">
        <f t="shared" si="19"/>
        <v>416.00711018542637</v>
      </c>
      <c r="T52" s="53">
        <f t="shared" si="19"/>
        <v>456.12887157098936</v>
      </c>
      <c r="U52" s="53">
        <f t="shared" si="19"/>
        <v>497.45428579811914</v>
      </c>
      <c r="V52" s="53">
        <f t="shared" si="19"/>
        <v>540.0194624520625</v>
      </c>
      <c r="W52" s="53">
        <f t="shared" si="19"/>
        <v>583.8615944056244</v>
      </c>
      <c r="X52" s="53">
        <f t="shared" si="19"/>
        <v>629.0189903177935</v>
      </c>
      <c r="Y52" s="53">
        <f>+Y48-Y50-Y51</f>
        <v>675.5311081073272</v>
      </c>
      <c r="Z52" s="53">
        <f>+Z48-Z50-Z51</f>
        <v>410.0330120081362</v>
      </c>
    </row>
    <row r="53" spans="1:26" s="19" customFormat="1" ht="15.75" hidden="1">
      <c r="A53" s="12"/>
      <c r="B53" s="50"/>
      <c r="C53" s="50"/>
      <c r="D53" s="55"/>
      <c r="E53" s="2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0"/>
      <c r="Y53" s="50"/>
      <c r="Z53" s="50"/>
    </row>
    <row r="54" spans="1:26" s="19" customFormat="1" ht="15.75">
      <c r="A54" s="12"/>
      <c r="B54" s="50"/>
      <c r="C54" s="55">
        <f>AVERAGE(D54:W54)</f>
        <v>0.07994516246749353</v>
      </c>
      <c r="D54" s="55">
        <f aca="true" t="shared" si="20" ref="D54:W54">D52/$D16</f>
        <v>0</v>
      </c>
      <c r="E54" s="24">
        <f t="shared" si="20"/>
        <v>0</v>
      </c>
      <c r="F54" s="55">
        <f>F52/$D16</f>
        <v>0.021591316304467544</v>
      </c>
      <c r="G54" s="55">
        <f>G52/$D16</f>
        <v>0.02479208364997891</v>
      </c>
      <c r="H54" s="55">
        <f>H52/$D16</f>
        <v>-0.00468251885170432</v>
      </c>
      <c r="I54" s="55">
        <f>I52/$D16</f>
        <v>0.013020841446930623</v>
      </c>
      <c r="J54" s="55">
        <f t="shared" si="20"/>
        <v>0.030993210479323963</v>
      </c>
      <c r="K54" s="55">
        <f t="shared" si="20"/>
        <v>0.05046924667250504</v>
      </c>
      <c r="L54" s="55">
        <f t="shared" si="20"/>
        <v>0.07156845728223034</v>
      </c>
      <c r="M54" s="55">
        <f t="shared" si="20"/>
        <v>0.09441967347752044</v>
      </c>
      <c r="N54" s="55">
        <f t="shared" si="20"/>
        <v>0.11916177271731071</v>
      </c>
      <c r="O54" s="55">
        <f t="shared" si="20"/>
        <v>0.14594445694330616</v>
      </c>
      <c r="P54" s="55">
        <f t="shared" si="20"/>
        <v>0.17492909089732434</v>
      </c>
      <c r="Q54" s="55">
        <f t="shared" si="20"/>
        <v>0.03398290331955558</v>
      </c>
      <c r="R54" s="55">
        <f t="shared" si="20"/>
        <v>0.08229063114151484</v>
      </c>
      <c r="S54" s="55">
        <f t="shared" si="20"/>
        <v>0.123530937938769</v>
      </c>
      <c r="T54" s="55">
        <f t="shared" si="20"/>
        <v>0.13544486607693212</v>
      </c>
      <c r="U54" s="55">
        <f t="shared" si="20"/>
        <v>0.14771621205924013</v>
      </c>
      <c r="V54" s="55">
        <f t="shared" si="20"/>
        <v>0.16035569842101727</v>
      </c>
      <c r="W54" s="55">
        <f t="shared" si="20"/>
        <v>0.17337436937364778</v>
      </c>
      <c r="X54" s="55">
        <f>X52/$D16</f>
        <v>0.18678360045485734</v>
      </c>
      <c r="Y54" s="55">
        <f>Y52/$D16</f>
        <v>0.200595108468503</v>
      </c>
      <c r="Z54" s="55">
        <f>Z52/$D16</f>
        <v>0.12175696356883575</v>
      </c>
    </row>
    <row r="55" spans="1:26" s="19" customFormat="1" ht="15.75">
      <c r="A55" s="12"/>
      <c r="B55" s="56" t="s">
        <v>42</v>
      </c>
      <c r="C55" s="57"/>
      <c r="D55" s="56">
        <f>D25*4</f>
        <v>0</v>
      </c>
      <c r="E55" s="56"/>
      <c r="F55" s="56">
        <v>1</v>
      </c>
      <c r="G55" s="56">
        <f aca="true" t="shared" si="21" ref="G55:R55">F55+4</f>
        <v>5</v>
      </c>
      <c r="H55" s="56">
        <f t="shared" si="21"/>
        <v>9</v>
      </c>
      <c r="I55" s="56">
        <f t="shared" si="21"/>
        <v>13</v>
      </c>
      <c r="J55" s="56">
        <f>I55+4</f>
        <v>17</v>
      </c>
      <c r="K55" s="56">
        <f t="shared" si="21"/>
        <v>21</v>
      </c>
      <c r="L55" s="56">
        <f t="shared" si="21"/>
        <v>25</v>
      </c>
      <c r="M55" s="56">
        <f t="shared" si="21"/>
        <v>29</v>
      </c>
      <c r="N55" s="56">
        <f t="shared" si="21"/>
        <v>33</v>
      </c>
      <c r="O55" s="56">
        <f t="shared" si="21"/>
        <v>37</v>
      </c>
      <c r="P55" s="56">
        <f t="shared" si="21"/>
        <v>41</v>
      </c>
      <c r="Q55" s="56">
        <f t="shared" si="21"/>
        <v>45</v>
      </c>
      <c r="R55" s="56">
        <f t="shared" si="21"/>
        <v>49</v>
      </c>
      <c r="S55" s="57"/>
      <c r="T55" s="57"/>
      <c r="U55" s="57"/>
      <c r="V55" s="57"/>
      <c r="W55" s="57"/>
      <c r="X55" s="57"/>
      <c r="Y55" s="57"/>
      <c r="Z55" s="57"/>
    </row>
    <row r="56" spans="1:26" s="60" customFormat="1" ht="15.75">
      <c r="A56" s="31"/>
      <c r="B56" s="58"/>
      <c r="C56" s="59">
        <f aca="true" t="shared" si="22" ref="C56:W56">C24</f>
        <v>2007</v>
      </c>
      <c r="D56" s="59">
        <f t="shared" si="22"/>
        <v>2008</v>
      </c>
      <c r="E56" s="59">
        <f t="shared" si="22"/>
        <v>2009</v>
      </c>
      <c r="F56" s="59">
        <f t="shared" si="22"/>
        <v>2010</v>
      </c>
      <c r="G56" s="59">
        <f t="shared" si="22"/>
        <v>2011</v>
      </c>
      <c r="H56" s="59">
        <f t="shared" si="22"/>
        <v>2012</v>
      </c>
      <c r="I56" s="59">
        <f t="shared" si="22"/>
        <v>2013</v>
      </c>
      <c r="J56" s="59">
        <f t="shared" si="22"/>
        <v>2014</v>
      </c>
      <c r="K56" s="59">
        <f t="shared" si="22"/>
        <v>2015</v>
      </c>
      <c r="L56" s="59">
        <f t="shared" si="22"/>
        <v>2016</v>
      </c>
      <c r="M56" s="59">
        <f t="shared" si="22"/>
        <v>2017</v>
      </c>
      <c r="N56" s="59">
        <f t="shared" si="22"/>
        <v>2018</v>
      </c>
      <c r="O56" s="59">
        <f t="shared" si="22"/>
        <v>2019</v>
      </c>
      <c r="P56" s="59">
        <f t="shared" si="22"/>
        <v>2020</v>
      </c>
      <c r="Q56" s="59">
        <f t="shared" si="22"/>
        <v>2021</v>
      </c>
      <c r="R56" s="59">
        <f t="shared" si="22"/>
        <v>2022</v>
      </c>
      <c r="S56" s="59">
        <f t="shared" si="22"/>
        <v>2023</v>
      </c>
      <c r="T56" s="59">
        <f t="shared" si="22"/>
        <v>2024</v>
      </c>
      <c r="U56" s="59">
        <f t="shared" si="22"/>
        <v>2025</v>
      </c>
      <c r="V56" s="59">
        <f t="shared" si="22"/>
        <v>2026</v>
      </c>
      <c r="W56" s="59">
        <f t="shared" si="22"/>
        <v>2027</v>
      </c>
      <c r="X56" s="59">
        <f>X24</f>
        <v>2028</v>
      </c>
      <c r="Y56" s="59">
        <f>Y24</f>
        <v>2029</v>
      </c>
      <c r="Z56" s="59">
        <f>Z24</f>
        <v>2030</v>
      </c>
    </row>
    <row r="57" spans="1:26" s="19" customFormat="1" ht="15.75">
      <c r="A57" s="12"/>
      <c r="B57" s="50"/>
      <c r="C57" s="50">
        <f>D14</f>
        <v>22450.9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4"/>
    </row>
    <row r="58" spans="1:26" s="19" customFormat="1" ht="15.75">
      <c r="A58" s="12"/>
      <c r="B58" s="50" t="s">
        <v>43</v>
      </c>
      <c r="C58" s="50">
        <f>D17</f>
        <v>19083.265</v>
      </c>
      <c r="D58" s="50">
        <f>D17</f>
        <v>19083.265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4"/>
    </row>
    <row r="59" spans="1:26" s="19" customFormat="1" ht="15.75">
      <c r="A59" s="12"/>
      <c r="B59" s="50" t="s">
        <v>44</v>
      </c>
      <c r="C59" s="50"/>
      <c r="D59" s="50"/>
      <c r="E59" s="50">
        <f>D58</f>
        <v>19083.265</v>
      </c>
      <c r="F59" s="50">
        <f>+E63</f>
        <v>19083.265</v>
      </c>
      <c r="G59" s="50">
        <f aca="true" t="shared" si="23" ref="G59:P59">+F63</f>
        <v>18834.645344998047</v>
      </c>
      <c r="H59" s="50">
        <f t="shared" si="23"/>
        <v>17792.668261222996</v>
      </c>
      <c r="I59" s="50">
        <f t="shared" si="23"/>
        <v>16670.317372964193</v>
      </c>
      <c r="J59" s="50">
        <f>+I63</f>
        <v>15461.392977226451</v>
      </c>
      <c r="K59" s="50">
        <f t="shared" si="23"/>
        <v>14159.217151556451</v>
      </c>
      <c r="L59" s="50">
        <f t="shared" si="23"/>
        <v>12756.596866170803</v>
      </c>
      <c r="M59" s="50">
        <f t="shared" si="23"/>
        <v>11245.784250706165</v>
      </c>
      <c r="N59" s="50">
        <f t="shared" si="23"/>
        <v>9618.43379611074</v>
      </c>
      <c r="O59" s="50">
        <f t="shared" si="23"/>
        <v>7865.556255266612</v>
      </c>
      <c r="P59" s="50">
        <f t="shared" si="23"/>
        <v>5977.468987696685</v>
      </c>
      <c r="Q59" s="50">
        <f>+P63</f>
        <v>3943.7424740675874</v>
      </c>
      <c r="R59" s="50">
        <f>+Q63</f>
        <v>1753.1427050424618</v>
      </c>
      <c r="S59" s="50"/>
      <c r="T59" s="50"/>
      <c r="U59" s="50"/>
      <c r="V59" s="50"/>
      <c r="W59" s="50"/>
      <c r="X59" s="50"/>
      <c r="Y59" s="50"/>
      <c r="Z59" s="54"/>
    </row>
    <row r="60" spans="1:26" s="19" customFormat="1" ht="15.75">
      <c r="A60" s="12"/>
      <c r="B60" s="50" t="s">
        <v>45</v>
      </c>
      <c r="C60" s="50"/>
      <c r="D60" s="50">
        <f>SUM(D61:D62)</f>
        <v>0</v>
      </c>
      <c r="E60" s="50">
        <f aca="true" t="shared" si="24" ref="E60:P60">SUM(E61:E62)</f>
        <v>0</v>
      </c>
      <c r="F60" s="50">
        <f t="shared" si="24"/>
        <v>-1679.8645300019502</v>
      </c>
      <c r="G60" s="50">
        <f t="shared" si="24"/>
        <v>-2454.575484649904</v>
      </c>
      <c r="H60" s="50">
        <f t="shared" si="24"/>
        <v>-2456.8010078505295</v>
      </c>
      <c r="I60" s="50">
        <f t="shared" si="24"/>
        <v>-2459.198198710057</v>
      </c>
      <c r="J60" s="50">
        <f t="shared" si="24"/>
        <v>-2461.780298961983</v>
      </c>
      <c r="K60" s="50">
        <f t="shared" si="24"/>
        <v>-2464.5615717523815</v>
      </c>
      <c r="L60" s="50">
        <f t="shared" si="24"/>
        <v>-2467.557380427448</v>
      </c>
      <c r="M60" s="50">
        <f t="shared" si="24"/>
        <v>-2470.784273398388</v>
      </c>
      <c r="N60" s="50">
        <f t="shared" si="24"/>
        <v>-2474.2600755524327</v>
      </c>
      <c r="O60" s="50">
        <f t="shared" si="24"/>
        <v>-2478.003986714923</v>
      </c>
      <c r="P60" s="50">
        <f t="shared" si="24"/>
        <v>-2482.036687706349</v>
      </c>
      <c r="Q60" s="50">
        <f>SUM(Q61:Q62)</f>
        <v>-2486.3804545801945</v>
      </c>
      <c r="R60" s="50">
        <f>SUM(R61:R62)</f>
        <v>-1884.6284079206678</v>
      </c>
      <c r="S60" s="50"/>
      <c r="T60" s="50"/>
      <c r="U60" s="50"/>
      <c r="V60" s="50"/>
      <c r="W60" s="50"/>
      <c r="X60" s="50"/>
      <c r="Y60" s="50"/>
      <c r="Z60" s="54"/>
    </row>
    <row r="61" spans="1:26" s="19" customFormat="1" ht="15.75">
      <c r="A61" s="12"/>
      <c r="B61" s="50" t="s">
        <v>46</v>
      </c>
      <c r="C61" s="50"/>
      <c r="D61" s="50">
        <f>-D59*$D$19*D25</f>
        <v>0</v>
      </c>
      <c r="E61" s="50">
        <f aca="true" t="shared" si="25" ref="E61:P61">-E59*$D$19*E25</f>
        <v>0</v>
      </c>
      <c r="F61" s="50">
        <f t="shared" si="25"/>
        <v>-1431.2448749999999</v>
      </c>
      <c r="G61" s="50">
        <f t="shared" si="25"/>
        <v>-1412.5984008748535</v>
      </c>
      <c r="H61" s="50">
        <f t="shared" si="25"/>
        <v>-1334.4501195917246</v>
      </c>
      <c r="I61" s="50">
        <f t="shared" si="25"/>
        <v>-1250.2738029723143</v>
      </c>
      <c r="J61" s="50">
        <f t="shared" si="25"/>
        <v>-1159.6044732919838</v>
      </c>
      <c r="K61" s="50">
        <f t="shared" si="25"/>
        <v>-1061.9412863667337</v>
      </c>
      <c r="L61" s="50">
        <f t="shared" si="25"/>
        <v>-956.7447649628102</v>
      </c>
      <c r="M61" s="50">
        <f t="shared" si="25"/>
        <v>-843.4338188029624</v>
      </c>
      <c r="N61" s="50">
        <f t="shared" si="25"/>
        <v>-721.3825347083055</v>
      </c>
      <c r="O61" s="50">
        <f t="shared" si="25"/>
        <v>-589.9167191449959</v>
      </c>
      <c r="P61" s="50">
        <f t="shared" si="25"/>
        <v>-448.31017407725136</v>
      </c>
      <c r="Q61" s="50">
        <f>-Q59*$D$19*Q25</f>
        <v>-295.78068555506906</v>
      </c>
      <c r="R61" s="50">
        <f>-R59*$D$19*R25</f>
        <v>-131.48570287818464</v>
      </c>
      <c r="S61" s="50"/>
      <c r="T61" s="50"/>
      <c r="U61" s="50"/>
      <c r="V61" s="50"/>
      <c r="W61" s="50"/>
      <c r="X61" s="50"/>
      <c r="Y61" s="50"/>
      <c r="Z61" s="54"/>
    </row>
    <row r="62" spans="1:26" s="19" customFormat="1" ht="15.75">
      <c r="A62" s="12"/>
      <c r="B62" s="50" t="s">
        <v>47</v>
      </c>
      <c r="C62" s="50">
        <v>0</v>
      </c>
      <c r="D62" s="50">
        <f>-SUM(IF(OR(D55-3&lt;=0,D55-3&gt;(4*$D$18)),0,PPMT($D$19/4,D55-3,$D$18*4,-$C$58,0)),IF(OR(D55-2&lt;=0,D55-2&gt;(4*$D$18)),0,PPMT($D$19/4,D55-2,$D$18*4,-$C$58,0)),IF(OR(D55-1&lt;=0,D55-1&gt;(4*$D$18)),0,PPMT($D$19/4,D55-1,$D$18*4,-$C$58,0)),IF(OR(D55&lt;=0,D55&gt;(4*$D$18)),0,PPMT($D$19/4,D55,$D$18*4,-$C$58,0)))</f>
        <v>0</v>
      </c>
      <c r="E62" s="50">
        <f aca="true" t="shared" si="26" ref="E62:P62">-SUM(IF(OR(E55-3&lt;=0,E55-3&gt;(4*$D$18)),0,PPMT($D$19/4,E55-3,$D$18*4,-$C$58,0)),IF(OR(E55-2&lt;=0,E55-2&gt;(4*$D$18)),0,PPMT($D$19/4,E55-2,$D$18*4,-$C$58,0)),IF(OR(E55-1&lt;=0,E55-1&gt;(4*$D$18)),0,PPMT($D$19/4,E55-1,$D$18*4,-$C$58,0)),IF(OR(E55&lt;=0,E55&gt;(4*$D$18)),0,PPMT($D$19/4,E55,$D$18*4,-$C$58,0)))</f>
        <v>0</v>
      </c>
      <c r="F62" s="50">
        <f t="shared" si="26"/>
        <v>-248.61965500195038</v>
      </c>
      <c r="G62" s="50">
        <f t="shared" si="26"/>
        <v>-1041.9770837750505</v>
      </c>
      <c r="H62" s="50">
        <f t="shared" si="26"/>
        <v>-1122.3508882588048</v>
      </c>
      <c r="I62" s="50">
        <f t="shared" si="26"/>
        <v>-1208.9243957377425</v>
      </c>
      <c r="J62" s="50">
        <f t="shared" si="26"/>
        <v>-1302.175825669999</v>
      </c>
      <c r="K62" s="50">
        <f t="shared" si="26"/>
        <v>-1402.6202853856478</v>
      </c>
      <c r="L62" s="50">
        <f t="shared" si="26"/>
        <v>-1510.8126154646382</v>
      </c>
      <c r="M62" s="50">
        <f t="shared" si="26"/>
        <v>-1627.3504545954258</v>
      </c>
      <c r="N62" s="50">
        <f t="shared" si="26"/>
        <v>-1752.8775408441275</v>
      </c>
      <c r="O62" s="50">
        <f t="shared" si="26"/>
        <v>-1888.0872675699272</v>
      </c>
      <c r="P62" s="50">
        <f t="shared" si="26"/>
        <v>-2033.7265136290976</v>
      </c>
      <c r="Q62" s="50">
        <f>-SUM(IF(OR(Q55-3&lt;=0,Q55-3&gt;(4*$D$18)),0,PPMT($D$19/4,Q55-3,$D$18*4,-$C$58,0)),IF(OR(Q55-2&lt;=0,Q55-2&gt;(4*$D$18)),0,PPMT($D$19/4,Q55-2,$D$18*4,-$C$58,0)),IF(OR(Q55-1&lt;=0,Q55-1&gt;(4*$D$18)),0,PPMT($D$19/4,Q55-1,$D$18*4,-$C$58,0)),IF(OR(Q55&lt;=0,Q55&gt;(4*$D$18)),0,PPMT($D$19/4,Q55,$D$18*4,-$C$58,0)))</f>
        <v>-2190.5997690251256</v>
      </c>
      <c r="R62" s="50">
        <f>-SUM(IF(OR(R55-3&lt;=0,R55-3&gt;(4*$D$18)),0,PPMT($D$19/4,R55-3,$D$18*4,-$C$58,0)),IF(OR(R55-2&lt;=0,R55-2&gt;(4*$D$18)),0,PPMT($D$19/4,R55-2,$D$18*4,-$C$58,0)),IF(OR(R55-1&lt;=0,R55-1&gt;(4*$D$18)),0,PPMT($D$19/4,R55-1,$D$18*4,-$C$58,0)),IF(OR(R55&lt;=0,R55&gt;(4*$D$18)),0,PPMT($D$19/4,R55,$D$18*4,-$C$58,0)))</f>
        <v>-1753.1427050424832</v>
      </c>
      <c r="S62" s="50"/>
      <c r="T62" s="50"/>
      <c r="U62" s="50"/>
      <c r="V62" s="50"/>
      <c r="W62" s="50"/>
      <c r="X62" s="50"/>
      <c r="Y62" s="50"/>
      <c r="Z62" s="54"/>
    </row>
    <row r="63" spans="1:26" s="19" customFormat="1" ht="16.5" thickBot="1">
      <c r="A63" s="12"/>
      <c r="B63" s="50" t="s">
        <v>48</v>
      </c>
      <c r="C63" s="50"/>
      <c r="D63" s="50">
        <f aca="true" t="shared" si="27" ref="D63:P63">+D59+D62</f>
        <v>0</v>
      </c>
      <c r="E63" s="50">
        <f t="shared" si="27"/>
        <v>19083.265</v>
      </c>
      <c r="F63" s="50">
        <f t="shared" si="27"/>
        <v>18834.645344998047</v>
      </c>
      <c r="G63" s="50">
        <f t="shared" si="27"/>
        <v>17792.668261222996</v>
      </c>
      <c r="H63" s="50">
        <f t="shared" si="27"/>
        <v>16670.317372964193</v>
      </c>
      <c r="I63" s="50">
        <f t="shared" si="27"/>
        <v>15461.392977226451</v>
      </c>
      <c r="J63" s="50">
        <f t="shared" si="27"/>
        <v>14159.217151556451</v>
      </c>
      <c r="K63" s="50">
        <f t="shared" si="27"/>
        <v>12756.596866170803</v>
      </c>
      <c r="L63" s="50">
        <f t="shared" si="27"/>
        <v>11245.784250706165</v>
      </c>
      <c r="M63" s="50">
        <f t="shared" si="27"/>
        <v>9618.43379611074</v>
      </c>
      <c r="N63" s="50">
        <f t="shared" si="27"/>
        <v>7865.556255266612</v>
      </c>
      <c r="O63" s="50">
        <f t="shared" si="27"/>
        <v>5977.468987696685</v>
      </c>
      <c r="P63" s="50">
        <f t="shared" si="27"/>
        <v>3943.7424740675874</v>
      </c>
      <c r="Q63" s="50">
        <f>+Q59+Q62</f>
        <v>1753.1427050424618</v>
      </c>
      <c r="R63" s="50">
        <f>+R59+R62</f>
        <v>-2.1373125491663814E-11</v>
      </c>
      <c r="S63" s="50"/>
      <c r="T63" s="50"/>
      <c r="U63" s="50"/>
      <c r="V63" s="50"/>
      <c r="W63" s="50"/>
      <c r="X63" s="50"/>
      <c r="Y63" s="50"/>
      <c r="Z63" s="54"/>
    </row>
    <row r="64" spans="1:26" s="66" customFormat="1" ht="16.5" thickBot="1">
      <c r="A64" s="25"/>
      <c r="B64" s="61" t="s">
        <v>49</v>
      </c>
      <c r="C64" s="62"/>
      <c r="D64" s="62"/>
      <c r="E64" s="62"/>
      <c r="F64" s="62">
        <f aca="true" t="shared" si="28" ref="F64:R64">(F52+F46+F69)/-F60</f>
        <v>1.563519855663567</v>
      </c>
      <c r="G64" s="62">
        <f t="shared" si="28"/>
        <v>1.0668378731367252</v>
      </c>
      <c r="H64" s="62">
        <f t="shared" si="28"/>
        <v>0.993660494854001</v>
      </c>
      <c r="I64" s="62">
        <f t="shared" si="28"/>
        <v>0.9827057638648576</v>
      </c>
      <c r="J64" s="62">
        <f t="shared" si="28"/>
        <v>0.9694298450072115</v>
      </c>
      <c r="K64" s="62">
        <f t="shared" si="28"/>
        <v>0.9553213500000358</v>
      </c>
      <c r="L64" s="62">
        <f t="shared" si="28"/>
        <v>0.940325126786115</v>
      </c>
      <c r="M64" s="62">
        <f t="shared" si="28"/>
        <v>0.924382529257814</v>
      </c>
      <c r="N64" s="62">
        <f t="shared" si="28"/>
        <v>0.9074312411042204</v>
      </c>
      <c r="O64" s="62">
        <f t="shared" si="28"/>
        <v>0.8894050987081062</v>
      </c>
      <c r="P64" s="62">
        <f t="shared" si="28"/>
        <v>0.870233914671614</v>
      </c>
      <c r="Q64" s="62">
        <f t="shared" si="28"/>
        <v>0.6164654718677863</v>
      </c>
      <c r="R64" s="62">
        <f t="shared" si="28"/>
        <v>0.8124442495121791</v>
      </c>
      <c r="S64" s="63">
        <f>AVERAGE(F64:R64)</f>
        <v>0.9609356011103256</v>
      </c>
      <c r="T64" s="64"/>
      <c r="U64" s="64"/>
      <c r="V64" s="64"/>
      <c r="W64" s="64"/>
      <c r="X64" s="64"/>
      <c r="Y64" s="65"/>
      <c r="Z64" s="54"/>
    </row>
    <row r="65" spans="1:27" s="67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s="60" customFormat="1" ht="15.75">
      <c r="A66" s="31"/>
      <c r="B66" s="68" t="s">
        <v>50</v>
      </c>
      <c r="C66" s="59">
        <f aca="true" t="shared" si="29" ref="C66:W66">C56</f>
        <v>2007</v>
      </c>
      <c r="D66" s="59">
        <f t="shared" si="29"/>
        <v>2008</v>
      </c>
      <c r="E66" s="59">
        <f t="shared" si="29"/>
        <v>2009</v>
      </c>
      <c r="F66" s="59">
        <f t="shared" si="29"/>
        <v>2010</v>
      </c>
      <c r="G66" s="59">
        <f t="shared" si="29"/>
        <v>2011</v>
      </c>
      <c r="H66" s="59">
        <f t="shared" si="29"/>
        <v>2012</v>
      </c>
      <c r="I66" s="59">
        <f t="shared" si="29"/>
        <v>2013</v>
      </c>
      <c r="J66" s="59">
        <f t="shared" si="29"/>
        <v>2014</v>
      </c>
      <c r="K66" s="59">
        <f t="shared" si="29"/>
        <v>2015</v>
      </c>
      <c r="L66" s="59">
        <f t="shared" si="29"/>
        <v>2016</v>
      </c>
      <c r="M66" s="59">
        <f t="shared" si="29"/>
        <v>2017</v>
      </c>
      <c r="N66" s="59">
        <f t="shared" si="29"/>
        <v>2018</v>
      </c>
      <c r="O66" s="59">
        <f t="shared" si="29"/>
        <v>2019</v>
      </c>
      <c r="P66" s="59">
        <f t="shared" si="29"/>
        <v>2020</v>
      </c>
      <c r="Q66" s="59">
        <f t="shared" si="29"/>
        <v>2021</v>
      </c>
      <c r="R66" s="59">
        <f t="shared" si="29"/>
        <v>2022</v>
      </c>
      <c r="S66" s="59">
        <f t="shared" si="29"/>
        <v>2023</v>
      </c>
      <c r="T66" s="59">
        <f t="shared" si="29"/>
        <v>2024</v>
      </c>
      <c r="U66" s="59">
        <f t="shared" si="29"/>
        <v>2025</v>
      </c>
      <c r="V66" s="59">
        <f t="shared" si="29"/>
        <v>2026</v>
      </c>
      <c r="W66" s="59">
        <f t="shared" si="29"/>
        <v>2027</v>
      </c>
      <c r="X66" s="59">
        <f>X56</f>
        <v>2028</v>
      </c>
      <c r="Y66" s="59">
        <f>Y56</f>
        <v>2029</v>
      </c>
      <c r="Z66" s="59">
        <f>Z56</f>
        <v>2030</v>
      </c>
      <c r="AA66" s="89"/>
    </row>
    <row r="67" spans="1:27" s="19" customFormat="1" ht="15.75">
      <c r="A67" s="12"/>
      <c r="B67" s="50" t="s">
        <v>41</v>
      </c>
      <c r="C67" s="50">
        <f>+C52-C29</f>
        <v>0</v>
      </c>
      <c r="D67" s="50">
        <f>+D52-D29</f>
        <v>0</v>
      </c>
      <c r="E67" s="50">
        <f aca="true" t="shared" si="30" ref="E67:L67">+E52-E29+D29</f>
        <v>0</v>
      </c>
      <c r="F67" s="50">
        <f>+F52-F29+E29</f>
        <v>72.71167248299557</v>
      </c>
      <c r="G67" s="50">
        <f t="shared" si="30"/>
        <v>83.49068862259674</v>
      </c>
      <c r="H67" s="50">
        <f t="shared" si="30"/>
        <v>-15.76901437315928</v>
      </c>
      <c r="I67" s="50">
        <f t="shared" si="30"/>
        <v>43.84944138613421</v>
      </c>
      <c r="J67" s="50">
        <f>+J52-J29+I29</f>
        <v>104.37382037253816</v>
      </c>
      <c r="K67" s="50">
        <f t="shared" si="30"/>
        <v>169.9620015179615</v>
      </c>
      <c r="L67" s="50">
        <f t="shared" si="30"/>
        <v>241.0164416396438</v>
      </c>
      <c r="M67" s="50">
        <f>+M52</f>
        <v>317.97099709146954</v>
      </c>
      <c r="N67" s="50">
        <f>+N52-N29+L29</f>
        <v>401.29335646486066</v>
      </c>
      <c r="O67" s="50">
        <f aca="true" t="shared" si="31" ref="O67:X67">+O52-O29+N29</f>
        <v>491.48766125827086</v>
      </c>
      <c r="P67" s="50">
        <f t="shared" si="31"/>
        <v>589.0973290240108</v>
      </c>
      <c r="Q67" s="50">
        <f t="shared" si="31"/>
        <v>114.44201462055155</v>
      </c>
      <c r="R67" s="50">
        <f t="shared" si="31"/>
        <v>277.12480960425535</v>
      </c>
      <c r="S67" s="50">
        <f t="shared" si="31"/>
        <v>416.00711018542637</v>
      </c>
      <c r="T67" s="50">
        <f t="shared" si="31"/>
        <v>456.12887157098936</v>
      </c>
      <c r="U67" s="50">
        <f t="shared" si="31"/>
        <v>497.45428579811914</v>
      </c>
      <c r="V67" s="50">
        <f t="shared" si="31"/>
        <v>540.0194624520625</v>
      </c>
      <c r="W67" s="50">
        <f t="shared" si="31"/>
        <v>583.8615944056244</v>
      </c>
      <c r="X67" s="50">
        <f t="shared" si="31"/>
        <v>629.0189903177935</v>
      </c>
      <c r="Y67" s="50">
        <f>+Y52-Y29+X29</f>
        <v>675.5311081073272</v>
      </c>
      <c r="Z67" s="50">
        <f>+Z52-Z29+Y29</f>
        <v>410.0330120081362</v>
      </c>
      <c r="AA67" s="12"/>
    </row>
    <row r="68" spans="1:27" s="19" customFormat="1" ht="15.75">
      <c r="A68" s="12"/>
      <c r="B68" s="50" t="s">
        <v>47</v>
      </c>
      <c r="C68" s="50">
        <f aca="true" t="shared" si="32" ref="C68:W68">C62</f>
        <v>0</v>
      </c>
      <c r="D68" s="50">
        <f t="shared" si="32"/>
        <v>0</v>
      </c>
      <c r="E68" s="50">
        <f t="shared" si="32"/>
        <v>0</v>
      </c>
      <c r="F68" s="50">
        <f t="shared" si="32"/>
        <v>-248.61965500195038</v>
      </c>
      <c r="G68" s="50">
        <f t="shared" si="32"/>
        <v>-1041.9770837750505</v>
      </c>
      <c r="H68" s="50">
        <f t="shared" si="32"/>
        <v>-1122.3508882588048</v>
      </c>
      <c r="I68" s="50">
        <f t="shared" si="32"/>
        <v>-1208.9243957377425</v>
      </c>
      <c r="J68" s="50">
        <f t="shared" si="32"/>
        <v>-1302.175825669999</v>
      </c>
      <c r="K68" s="50">
        <f t="shared" si="32"/>
        <v>-1402.6202853856478</v>
      </c>
      <c r="L68" s="50">
        <f t="shared" si="32"/>
        <v>-1510.8126154646382</v>
      </c>
      <c r="M68" s="50">
        <f t="shared" si="32"/>
        <v>-1627.3504545954258</v>
      </c>
      <c r="N68" s="50">
        <f t="shared" si="32"/>
        <v>-1752.8775408441275</v>
      </c>
      <c r="O68" s="50">
        <f t="shared" si="32"/>
        <v>-1888.0872675699272</v>
      </c>
      <c r="P68" s="50">
        <f t="shared" si="32"/>
        <v>-2033.7265136290976</v>
      </c>
      <c r="Q68" s="50">
        <f t="shared" si="32"/>
        <v>-2190.5997690251256</v>
      </c>
      <c r="R68" s="50">
        <f t="shared" si="32"/>
        <v>-1753.1427050424832</v>
      </c>
      <c r="S68" s="50">
        <f t="shared" si="32"/>
        <v>0</v>
      </c>
      <c r="T68" s="50">
        <f t="shared" si="32"/>
        <v>0</v>
      </c>
      <c r="U68" s="50">
        <f t="shared" si="32"/>
        <v>0</v>
      </c>
      <c r="V68" s="50">
        <f t="shared" si="32"/>
        <v>0</v>
      </c>
      <c r="W68" s="50">
        <f t="shared" si="32"/>
        <v>0</v>
      </c>
      <c r="X68" s="50">
        <f>X62</f>
        <v>0</v>
      </c>
      <c r="Y68" s="50">
        <f>Y62</f>
        <v>0</v>
      </c>
      <c r="Z68" s="50">
        <f>Z62</f>
        <v>0</v>
      </c>
      <c r="AA68" s="12"/>
    </row>
    <row r="69" spans="1:27" s="19" customFormat="1" ht="15.75">
      <c r="A69" s="12"/>
      <c r="B69" s="50" t="s">
        <v>37</v>
      </c>
      <c r="C69" s="50">
        <f aca="true" t="shared" si="33" ref="C69:W69">C44</f>
        <v>0</v>
      </c>
      <c r="D69" s="50">
        <f t="shared" si="33"/>
        <v>0</v>
      </c>
      <c r="E69" s="50">
        <f t="shared" si="33"/>
        <v>0</v>
      </c>
      <c r="F69" s="50">
        <f t="shared" si="33"/>
        <v>1122.545</v>
      </c>
      <c r="G69" s="50">
        <f t="shared" si="33"/>
        <v>1122.545</v>
      </c>
      <c r="H69" s="50">
        <f t="shared" si="33"/>
        <v>1122.545</v>
      </c>
      <c r="I69" s="50">
        <f t="shared" si="33"/>
        <v>1122.545</v>
      </c>
      <c r="J69" s="50">
        <f t="shared" si="33"/>
        <v>1122.545</v>
      </c>
      <c r="K69" s="50">
        <f t="shared" si="33"/>
        <v>1122.545</v>
      </c>
      <c r="L69" s="50">
        <f t="shared" si="33"/>
        <v>1122.545</v>
      </c>
      <c r="M69" s="50">
        <f t="shared" si="33"/>
        <v>1122.545</v>
      </c>
      <c r="N69" s="50">
        <f t="shared" si="33"/>
        <v>1122.545</v>
      </c>
      <c r="O69" s="50">
        <f t="shared" si="33"/>
        <v>1122.545</v>
      </c>
      <c r="P69" s="50">
        <f t="shared" si="33"/>
        <v>1122.545</v>
      </c>
      <c r="Q69" s="50">
        <f t="shared" si="33"/>
        <v>1122.545</v>
      </c>
      <c r="R69" s="50">
        <f t="shared" si="33"/>
        <v>1122.545</v>
      </c>
      <c r="S69" s="50">
        <f t="shared" si="33"/>
        <v>1122.545</v>
      </c>
      <c r="T69" s="50">
        <f t="shared" si="33"/>
        <v>1122.545</v>
      </c>
      <c r="U69" s="50">
        <f t="shared" si="33"/>
        <v>1122.545</v>
      </c>
      <c r="V69" s="50">
        <f t="shared" si="33"/>
        <v>1122.545</v>
      </c>
      <c r="W69" s="50">
        <f t="shared" si="33"/>
        <v>1122.545</v>
      </c>
      <c r="X69" s="50">
        <f>X44</f>
        <v>1122.545</v>
      </c>
      <c r="Y69" s="50">
        <f>Y44</f>
        <v>1122.545</v>
      </c>
      <c r="Z69" s="50">
        <f>Z44</f>
        <v>841.90875</v>
      </c>
      <c r="AA69" s="12"/>
    </row>
    <row r="70" spans="1:27" s="19" customFormat="1" ht="15.75">
      <c r="A70" s="12"/>
      <c r="B70" s="50" t="s">
        <v>51</v>
      </c>
      <c r="C70" s="50">
        <f>-D16*0.5</f>
        <v>-1683.8175</v>
      </c>
      <c r="D70" s="50">
        <v>0</v>
      </c>
      <c r="E70" s="50">
        <f>-D16+E67+E68+E69</f>
        <v>-3367.635</v>
      </c>
      <c r="F70" s="50">
        <f aca="true" t="shared" si="34" ref="F70:X70">+F67+F68+F69</f>
        <v>946.6370174810453</v>
      </c>
      <c r="G70" s="50">
        <f t="shared" si="34"/>
        <v>164.05860484754635</v>
      </c>
      <c r="H70" s="50">
        <f t="shared" si="34"/>
        <v>-15.57490263196405</v>
      </c>
      <c r="I70" s="50">
        <f t="shared" si="34"/>
        <v>-42.52995435160824</v>
      </c>
      <c r="J70" s="50">
        <f t="shared" si="34"/>
        <v>-75.25700529746086</v>
      </c>
      <c r="K70" s="50">
        <f t="shared" si="34"/>
        <v>-110.11328386768628</v>
      </c>
      <c r="L70" s="50">
        <f t="shared" si="34"/>
        <v>-147.25117382499434</v>
      </c>
      <c r="M70" s="50">
        <f t="shared" si="34"/>
        <v>-186.83445750395617</v>
      </c>
      <c r="N70" s="50">
        <f t="shared" si="34"/>
        <v>-229.03918437926677</v>
      </c>
      <c r="O70" s="50">
        <f t="shared" si="34"/>
        <v>-274.05460631165624</v>
      </c>
      <c r="P70" s="50">
        <f t="shared" si="34"/>
        <v>-322.08418460508665</v>
      </c>
      <c r="Q70" s="50">
        <f t="shared" si="34"/>
        <v>-953.6127544045739</v>
      </c>
      <c r="R70" s="50">
        <f t="shared" si="34"/>
        <v>-353.4728954382276</v>
      </c>
      <c r="S70" s="50">
        <f t="shared" si="34"/>
        <v>1538.5521101854265</v>
      </c>
      <c r="T70" s="50">
        <f t="shared" si="34"/>
        <v>1578.6738715709894</v>
      </c>
      <c r="U70" s="50">
        <f t="shared" si="34"/>
        <v>1619.9992857981192</v>
      </c>
      <c r="V70" s="50">
        <f t="shared" si="34"/>
        <v>1662.5644624520626</v>
      </c>
      <c r="W70" s="50">
        <f t="shared" si="34"/>
        <v>1706.4065944056244</v>
      </c>
      <c r="X70" s="50">
        <f t="shared" si="34"/>
        <v>1751.5639903177935</v>
      </c>
      <c r="Y70" s="50">
        <f>+Y67+Y68+Y69</f>
        <v>1798.0761081073274</v>
      </c>
      <c r="Z70" s="50">
        <f>+Z67+Z68+Z69</f>
        <v>1251.9417620081363</v>
      </c>
      <c r="AA70" s="12"/>
    </row>
    <row r="71" spans="1:27" s="19" customFormat="1" ht="16.5" thickBot="1">
      <c r="A71" s="12"/>
      <c r="B71" s="53" t="s">
        <v>52</v>
      </c>
      <c r="C71" s="53">
        <f>+C70</f>
        <v>-1683.8175</v>
      </c>
      <c r="D71" s="53"/>
      <c r="E71" s="53">
        <f aca="true" t="shared" si="35" ref="E71:J71">D71+E70</f>
        <v>-3367.635</v>
      </c>
      <c r="F71" s="53">
        <f t="shared" si="35"/>
        <v>-2420.997982518955</v>
      </c>
      <c r="G71" s="53">
        <f t="shared" si="35"/>
        <v>-2256.9393776714087</v>
      </c>
      <c r="H71" s="53">
        <f t="shared" si="35"/>
        <v>-2272.5142803033727</v>
      </c>
      <c r="I71" s="53">
        <f t="shared" si="35"/>
        <v>-2315.0442346549808</v>
      </c>
      <c r="J71" s="53">
        <f t="shared" si="35"/>
        <v>-2390.3012399524414</v>
      </c>
      <c r="K71" s="53">
        <f aca="true" t="shared" si="36" ref="K71:X71">J71+K70</f>
        <v>-2500.4145238201277</v>
      </c>
      <c r="L71" s="53">
        <f t="shared" si="36"/>
        <v>-2647.6656976451222</v>
      </c>
      <c r="M71" s="53">
        <f t="shared" si="36"/>
        <v>-2834.5001551490786</v>
      </c>
      <c r="N71" s="53">
        <f t="shared" si="36"/>
        <v>-3063.5393395283454</v>
      </c>
      <c r="O71" s="53">
        <f t="shared" si="36"/>
        <v>-3337.5939458400017</v>
      </c>
      <c r="P71" s="53">
        <f t="shared" si="36"/>
        <v>-3659.6781304450883</v>
      </c>
      <c r="Q71" s="53">
        <f t="shared" si="36"/>
        <v>-4613.290884849663</v>
      </c>
      <c r="R71" s="53">
        <f t="shared" si="36"/>
        <v>-4966.763780287891</v>
      </c>
      <c r="S71" s="53">
        <f t="shared" si="36"/>
        <v>-3428.2116701024643</v>
      </c>
      <c r="T71" s="53">
        <f t="shared" si="36"/>
        <v>-1849.537798531475</v>
      </c>
      <c r="U71" s="53">
        <f t="shared" si="36"/>
        <v>-229.53851273335567</v>
      </c>
      <c r="V71" s="53">
        <f t="shared" si="36"/>
        <v>1433.025949718707</v>
      </c>
      <c r="W71" s="53">
        <f t="shared" si="36"/>
        <v>3139.4325441243313</v>
      </c>
      <c r="X71" s="53">
        <f t="shared" si="36"/>
        <v>4890.996534442125</v>
      </c>
      <c r="Y71" s="53">
        <f>X71+Y70</f>
        <v>6689.072642549452</v>
      </c>
      <c r="Z71" s="53">
        <f>Y71+Z70</f>
        <v>7941.014404557589</v>
      </c>
      <c r="AA71" s="12"/>
    </row>
    <row r="72" spans="1:25" s="33" customFormat="1" ht="15.75">
      <c r="A72" s="3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2:23" ht="15" customHeight="1" hidden="1">
      <c r="B73" s="70" t="s">
        <v>53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spans="1:25" s="66" customFormat="1" ht="15" customHeight="1" hidden="1">
      <c r="A74" s="25"/>
      <c r="B74" s="73" t="s">
        <v>54</v>
      </c>
      <c r="C74" s="71"/>
      <c r="D74" s="57">
        <f>-D16</f>
        <v>-3367.635</v>
      </c>
      <c r="E74" s="57">
        <f aca="true" t="shared" si="37" ref="E74:W74">MIN((E67-E77),E70)*(1-E75)</f>
        <v>-2361.718051948052</v>
      </c>
      <c r="F74" s="57">
        <f t="shared" si="37"/>
        <v>-1351.6048011158214</v>
      </c>
      <c r="G74" s="57">
        <f t="shared" si="37"/>
        <v>-1344.0454910958413</v>
      </c>
      <c r="H74" s="57">
        <f t="shared" si="37"/>
        <v>-1413.65619189806</v>
      </c>
      <c r="I74" s="57">
        <f t="shared" si="37"/>
        <v>-1371.8458463006332</v>
      </c>
      <c r="J74" s="57">
        <f t="shared" si="37"/>
        <v>-1329.4001779205578</v>
      </c>
      <c r="K74" s="57">
        <f t="shared" si="37"/>
        <v>-1283.4032716627285</v>
      </c>
      <c r="L74" s="57">
        <f t="shared" si="37"/>
        <v>-1233.5728850838861</v>
      </c>
      <c r="M74" s="57">
        <f t="shared" si="37"/>
        <v>-1179.6047552865018</v>
      </c>
      <c r="N74" s="57">
        <f t="shared" si="37"/>
        <v>-1121.170892868799</v>
      </c>
      <c r="O74" s="57">
        <f t="shared" si="37"/>
        <v>-1057.9177440526412</v>
      </c>
      <c r="P74" s="57">
        <f t="shared" si="37"/>
        <v>-989.46421081433</v>
      </c>
      <c r="Q74" s="57">
        <f t="shared" si="37"/>
        <v>-1322.3393663700028</v>
      </c>
      <c r="R74" s="57">
        <f t="shared" si="37"/>
        <v>-1208.2501335242885</v>
      </c>
      <c r="S74" s="57">
        <f t="shared" si="37"/>
        <v>-1110.8521564933374</v>
      </c>
      <c r="T74" s="57">
        <f t="shared" si="37"/>
        <v>-1082.7148173398257</v>
      </c>
      <c r="U74" s="57">
        <f t="shared" si="37"/>
        <v>-1053.7333580117086</v>
      </c>
      <c r="V74" s="57">
        <f t="shared" si="37"/>
        <v>-1023.8824549037483</v>
      </c>
      <c r="W74" s="57">
        <f t="shared" si="37"/>
        <v>-993.1360247025492</v>
      </c>
      <c r="X74" s="65"/>
      <c r="Y74" s="65"/>
    </row>
    <row r="75" spans="1:25" s="66" customFormat="1" ht="15" customHeight="1" hidden="1">
      <c r="A75" s="25"/>
      <c r="B75" s="73" t="s">
        <v>55</v>
      </c>
      <c r="C75" s="73"/>
      <c r="D75" s="73">
        <f>24/76</f>
        <v>0.3157894736842105</v>
      </c>
      <c r="E75" s="73">
        <f>23/77</f>
        <v>0.2987012987012987</v>
      </c>
      <c r="F75" s="73">
        <f>E75</f>
        <v>0.2987012987012987</v>
      </c>
      <c r="G75" s="73">
        <f aca="true" t="shared" si="38" ref="G75:W75">F75</f>
        <v>0.2987012987012987</v>
      </c>
      <c r="H75" s="73">
        <f t="shared" si="38"/>
        <v>0.2987012987012987</v>
      </c>
      <c r="I75" s="73">
        <f t="shared" si="38"/>
        <v>0.2987012987012987</v>
      </c>
      <c r="J75" s="73">
        <f>I75</f>
        <v>0.2987012987012987</v>
      </c>
      <c r="K75" s="73">
        <f t="shared" si="38"/>
        <v>0.2987012987012987</v>
      </c>
      <c r="L75" s="73">
        <f t="shared" si="38"/>
        <v>0.2987012987012987</v>
      </c>
      <c r="M75" s="73">
        <f t="shared" si="38"/>
        <v>0.2987012987012987</v>
      </c>
      <c r="N75" s="73">
        <f t="shared" si="38"/>
        <v>0.2987012987012987</v>
      </c>
      <c r="O75" s="73">
        <f t="shared" si="38"/>
        <v>0.2987012987012987</v>
      </c>
      <c r="P75" s="73">
        <f t="shared" si="38"/>
        <v>0.2987012987012987</v>
      </c>
      <c r="Q75" s="73">
        <f t="shared" si="38"/>
        <v>0.2987012987012987</v>
      </c>
      <c r="R75" s="73">
        <f t="shared" si="38"/>
        <v>0.2987012987012987</v>
      </c>
      <c r="S75" s="73">
        <f t="shared" si="38"/>
        <v>0.2987012987012987</v>
      </c>
      <c r="T75" s="73">
        <f t="shared" si="38"/>
        <v>0.2987012987012987</v>
      </c>
      <c r="U75" s="73">
        <f t="shared" si="38"/>
        <v>0.2987012987012987</v>
      </c>
      <c r="V75" s="73">
        <f t="shared" si="38"/>
        <v>0.2987012987012987</v>
      </c>
      <c r="W75" s="73">
        <f t="shared" si="38"/>
        <v>0.2987012987012987</v>
      </c>
      <c r="X75" s="65"/>
      <c r="Y75" s="65"/>
    </row>
    <row r="76" spans="1:25" s="66" customFormat="1" ht="15" customHeight="1" hidden="1">
      <c r="A76" s="25"/>
      <c r="B76" s="73" t="s">
        <v>56</v>
      </c>
      <c r="C76" s="73"/>
      <c r="D76" s="73"/>
      <c r="E76" s="57">
        <f aca="true" t="shared" si="39" ref="E76:W76">(E71-E77)*E75</f>
        <v>-1603.3195454545455</v>
      </c>
      <c r="F76" s="57">
        <f t="shared" si="39"/>
        <v>-1320.5578389342331</v>
      </c>
      <c r="G76" s="57">
        <f t="shared" si="39"/>
        <v>-1271.553320603148</v>
      </c>
      <c r="H76" s="57">
        <f t="shared" si="39"/>
        <v>-1276.2055642464618</v>
      </c>
      <c r="I76" s="57">
        <f t="shared" si="39"/>
        <v>-1288.9093168449942</v>
      </c>
      <c r="J76" s="57">
        <f t="shared" si="39"/>
        <v>-1311.3886820637163</v>
      </c>
      <c r="K76" s="57">
        <f t="shared" si="39"/>
        <v>-1344.2796629592588</v>
      </c>
      <c r="L76" s="57">
        <f t="shared" si="39"/>
        <v>-1388.2637798160754</v>
      </c>
      <c r="M76" s="57">
        <f t="shared" si="39"/>
        <v>-1444.0714749146598</v>
      </c>
      <c r="N76" s="57">
        <f t="shared" si="39"/>
        <v>-1512.485776742233</v>
      </c>
      <c r="O76" s="57">
        <f t="shared" si="39"/>
        <v>-1594.346243562598</v>
      </c>
      <c r="P76" s="57">
        <f t="shared" si="39"/>
        <v>-1690.5532077952862</v>
      </c>
      <c r="Q76" s="57">
        <f t="shared" si="39"/>
        <v>-1975.398575994055</v>
      </c>
      <c r="R76" s="57">
        <f t="shared" si="39"/>
        <v>-2080.981388917162</v>
      </c>
      <c r="S76" s="57">
        <f t="shared" si="39"/>
        <v>-1621.4138754851515</v>
      </c>
      <c r="T76" s="57">
        <f t="shared" si="39"/>
        <v>-1149.86193982109</v>
      </c>
      <c r="U76" s="57">
        <f t="shared" si="39"/>
        <v>-665.9660492580153</v>
      </c>
      <c r="V76" s="57">
        <f t="shared" si="39"/>
        <v>-169.35588514895767</v>
      </c>
      <c r="W76" s="57">
        <f t="shared" si="39"/>
        <v>340.3499807124626</v>
      </c>
      <c r="X76" s="65"/>
      <c r="Y76" s="65"/>
    </row>
    <row r="77" spans="1:25" s="66" customFormat="1" ht="15" customHeight="1" hidden="1">
      <c r="A77" s="25"/>
      <c r="B77" s="73" t="s">
        <v>57</v>
      </c>
      <c r="C77" s="73"/>
      <c r="D77" s="73"/>
      <c r="E77" s="57">
        <v>2000</v>
      </c>
      <c r="F77" s="57">
        <f>E77</f>
        <v>2000</v>
      </c>
      <c r="G77" s="57">
        <f aca="true" t="shared" si="40" ref="G77:W77">F77</f>
        <v>2000</v>
      </c>
      <c r="H77" s="57">
        <f t="shared" si="40"/>
        <v>2000</v>
      </c>
      <c r="I77" s="57">
        <f t="shared" si="40"/>
        <v>2000</v>
      </c>
      <c r="J77" s="57">
        <f>I77</f>
        <v>2000</v>
      </c>
      <c r="K77" s="57">
        <f t="shared" si="40"/>
        <v>2000</v>
      </c>
      <c r="L77" s="57">
        <f t="shared" si="40"/>
        <v>2000</v>
      </c>
      <c r="M77" s="57">
        <f t="shared" si="40"/>
        <v>2000</v>
      </c>
      <c r="N77" s="57">
        <f t="shared" si="40"/>
        <v>2000</v>
      </c>
      <c r="O77" s="57">
        <f t="shared" si="40"/>
        <v>2000</v>
      </c>
      <c r="P77" s="57">
        <f t="shared" si="40"/>
        <v>2000</v>
      </c>
      <c r="Q77" s="57">
        <f t="shared" si="40"/>
        <v>2000</v>
      </c>
      <c r="R77" s="57">
        <f t="shared" si="40"/>
        <v>2000</v>
      </c>
      <c r="S77" s="57">
        <f t="shared" si="40"/>
        <v>2000</v>
      </c>
      <c r="T77" s="57">
        <f t="shared" si="40"/>
        <v>2000</v>
      </c>
      <c r="U77" s="57">
        <f t="shared" si="40"/>
        <v>2000</v>
      </c>
      <c r="V77" s="57">
        <f t="shared" si="40"/>
        <v>2000</v>
      </c>
      <c r="W77" s="57">
        <f t="shared" si="40"/>
        <v>2000</v>
      </c>
      <c r="X77" s="65"/>
      <c r="Y77" s="65"/>
    </row>
    <row r="78" spans="1:25" s="79" customFormat="1" ht="12.75" customHeight="1" hidden="1">
      <c r="A78" s="74"/>
      <c r="B78" s="75" t="s">
        <v>58</v>
      </c>
      <c r="C78" s="76"/>
      <c r="D78" s="75"/>
      <c r="E78" s="77">
        <f aca="true" t="shared" si="41" ref="E78:W78">E71-E74-E76</f>
        <v>597.4025974025974</v>
      </c>
      <c r="F78" s="77">
        <f t="shared" si="41"/>
        <v>251.1646575310997</v>
      </c>
      <c r="G78" s="77">
        <f t="shared" si="41"/>
        <v>358.6594340275806</v>
      </c>
      <c r="H78" s="77">
        <f t="shared" si="41"/>
        <v>417.34747584114893</v>
      </c>
      <c r="I78" s="77">
        <f t="shared" si="41"/>
        <v>345.71092849064667</v>
      </c>
      <c r="J78" s="77">
        <f t="shared" si="41"/>
        <v>250.48762003183265</v>
      </c>
      <c r="K78" s="77">
        <f t="shared" si="41"/>
        <v>127.26841080185955</v>
      </c>
      <c r="L78" s="77">
        <f t="shared" si="41"/>
        <v>-25.829032745160703</v>
      </c>
      <c r="M78" s="77">
        <f t="shared" si="41"/>
        <v>-210.82392494791702</v>
      </c>
      <c r="N78" s="77">
        <f t="shared" si="41"/>
        <v>-429.8826699173135</v>
      </c>
      <c r="O78" s="77">
        <f t="shared" si="41"/>
        <v>-685.3299582247628</v>
      </c>
      <c r="P78" s="77">
        <f t="shared" si="41"/>
        <v>-979.6607118354718</v>
      </c>
      <c r="Q78" s="77">
        <f t="shared" si="41"/>
        <v>-1315.5529424856052</v>
      </c>
      <c r="R78" s="77">
        <f t="shared" si="41"/>
        <v>-1677.5322578464402</v>
      </c>
      <c r="S78" s="77">
        <f t="shared" si="41"/>
        <v>-695.9456381239756</v>
      </c>
      <c r="T78" s="77">
        <f t="shared" si="41"/>
        <v>383.0389586294407</v>
      </c>
      <c r="U78" s="77">
        <f t="shared" si="41"/>
        <v>1490.1608945363682</v>
      </c>
      <c r="V78" s="77">
        <f t="shared" si="41"/>
        <v>2626.264289771413</v>
      </c>
      <c r="W78" s="77">
        <f t="shared" si="41"/>
        <v>3792.218588114418</v>
      </c>
      <c r="X78" s="78"/>
      <c r="Y78" s="75"/>
    </row>
    <row r="79" spans="1:25" s="66" customFormat="1" ht="15" customHeight="1" hidden="1">
      <c r="A79" s="25"/>
      <c r="B79" s="73" t="s">
        <v>59</v>
      </c>
      <c r="C79" s="80" t="e">
        <f>IRR(D74:W74)</f>
        <v>#DIV/0!</v>
      </c>
      <c r="D79" s="73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65"/>
      <c r="Y79" s="65"/>
    </row>
    <row r="80" ht="14.25" customHeight="1" hidden="1"/>
    <row r="81" spans="3:25" ht="14.25" customHeight="1" hidden="1">
      <c r="C81" s="81" t="s">
        <v>60</v>
      </c>
      <c r="X81" s="82"/>
      <c r="Y81" s="82"/>
    </row>
    <row r="82" spans="1:25" s="84" customFormat="1" ht="14.25" customHeight="1" hidden="1">
      <c r="A82" s="83"/>
      <c r="B82" s="84" t="s">
        <v>61</v>
      </c>
      <c r="C82" s="85" t="e">
        <f>AVERAGE(D82:W82)</f>
        <v>#REF!</v>
      </c>
      <c r="D82" s="84" t="e">
        <f>D52/-#REF!</f>
        <v>#REF!</v>
      </c>
      <c r="E82" s="84" t="e">
        <f>E52/-#REF!</f>
        <v>#REF!</v>
      </c>
      <c r="F82" s="84" t="e">
        <f>F52/-#REF!</f>
        <v>#REF!</v>
      </c>
      <c r="G82" s="84" t="e">
        <f>G52/-#REF!</f>
        <v>#REF!</v>
      </c>
      <c r="H82" s="84" t="e">
        <f>H52/-#REF!</f>
        <v>#REF!</v>
      </c>
      <c r="I82" s="84" t="e">
        <f>I52/-#REF!</f>
        <v>#REF!</v>
      </c>
      <c r="J82" s="84" t="e">
        <f>J52/-#REF!</f>
        <v>#REF!</v>
      </c>
      <c r="K82" s="84" t="e">
        <f>K52/-#REF!</f>
        <v>#REF!</v>
      </c>
      <c r="L82" s="84" t="e">
        <f>L52/-#REF!</f>
        <v>#REF!</v>
      </c>
      <c r="M82" s="84" t="e">
        <f>M52/-#REF!</f>
        <v>#REF!</v>
      </c>
      <c r="N82" s="84" t="e">
        <f>N52/-#REF!</f>
        <v>#REF!</v>
      </c>
      <c r="O82" s="84" t="e">
        <f>O52/-#REF!</f>
        <v>#REF!</v>
      </c>
      <c r="P82" s="84" t="e">
        <f>P52/-#REF!</f>
        <v>#REF!</v>
      </c>
      <c r="Q82" s="84" t="e">
        <f>Q52/-#REF!</f>
        <v>#REF!</v>
      </c>
      <c r="R82" s="84" t="e">
        <f>R52/-#REF!</f>
        <v>#REF!</v>
      </c>
      <c r="S82" s="84" t="e">
        <f>S52/-#REF!</f>
        <v>#REF!</v>
      </c>
      <c r="T82" s="84" t="e">
        <f>T52/-#REF!</f>
        <v>#REF!</v>
      </c>
      <c r="U82" s="84" t="e">
        <f>U52/-#REF!</f>
        <v>#REF!</v>
      </c>
      <c r="V82" s="84" t="e">
        <f>V52/-#REF!</f>
        <v>#REF!</v>
      </c>
      <c r="W82" s="84" t="e">
        <f>W52/-#REF!</f>
        <v>#REF!</v>
      </c>
      <c r="X82" s="86"/>
      <c r="Y82" s="86"/>
    </row>
    <row r="83" spans="1:25" s="84" customFormat="1" ht="14.25" customHeight="1" hidden="1">
      <c r="A83" s="83"/>
      <c r="B83" s="84" t="s">
        <v>62</v>
      </c>
      <c r="C83" s="87">
        <f>AVERAGE(D83:W83)</f>
        <v>0.011991774370124029</v>
      </c>
      <c r="D83" s="84">
        <f aca="true" t="shared" si="42" ref="D83:W83">D52/$D12</f>
        <v>0</v>
      </c>
      <c r="E83" s="84">
        <f t="shared" si="42"/>
        <v>0</v>
      </c>
      <c r="F83" s="84">
        <f>F52/$D12</f>
        <v>0.003238697445670132</v>
      </c>
      <c r="G83" s="84">
        <f>G52/$D12</f>
        <v>0.0037188125474968367</v>
      </c>
      <c r="H83" s="84">
        <f>H52/$D12</f>
        <v>-0.000702377827755648</v>
      </c>
      <c r="I83" s="84">
        <f>I52/$D12</f>
        <v>0.0019531262170395932</v>
      </c>
      <c r="J83" s="84">
        <f t="shared" si="42"/>
        <v>0.004648981571898594</v>
      </c>
      <c r="K83" s="84">
        <f t="shared" si="42"/>
        <v>0.007570387000875756</v>
      </c>
      <c r="L83" s="84">
        <f t="shared" si="42"/>
        <v>0.010735268592334552</v>
      </c>
      <c r="M83" s="84">
        <f t="shared" si="42"/>
        <v>0.014162951021628066</v>
      </c>
      <c r="N83" s="84">
        <f t="shared" si="42"/>
        <v>0.017874265907596606</v>
      </c>
      <c r="O83" s="84">
        <f t="shared" si="42"/>
        <v>0.021891668541495924</v>
      </c>
      <c r="P83" s="84">
        <f t="shared" si="42"/>
        <v>0.02623936363459865</v>
      </c>
      <c r="Q83" s="84">
        <f t="shared" si="42"/>
        <v>0.005097435497933336</v>
      </c>
      <c r="R83" s="84">
        <f t="shared" si="42"/>
        <v>0.012343594671227226</v>
      </c>
      <c r="S83" s="84">
        <f t="shared" si="42"/>
        <v>0.01852964069081535</v>
      </c>
      <c r="T83" s="84">
        <f t="shared" si="42"/>
        <v>0.020316729911539818</v>
      </c>
      <c r="U83" s="84">
        <f t="shared" si="42"/>
        <v>0.02215743180888602</v>
      </c>
      <c r="V83" s="84">
        <f t="shared" si="42"/>
        <v>0.02405335476315259</v>
      </c>
      <c r="W83" s="84">
        <f t="shared" si="42"/>
        <v>0.026006155406047168</v>
      </c>
      <c r="X83" s="86"/>
      <c r="Y83" s="86"/>
    </row>
    <row r="84" spans="24:25" ht="14.25" customHeight="1" hidden="1">
      <c r="X84" s="82"/>
      <c r="Y84" s="82"/>
    </row>
    <row r="85" spans="24:25" ht="15">
      <c r="X85" s="82"/>
      <c r="Y85" s="82"/>
    </row>
    <row r="86" spans="24:25" ht="15">
      <c r="X86" s="82"/>
      <c r="Y86" s="82"/>
    </row>
    <row r="87" spans="24:25" ht="15">
      <c r="X87" s="82"/>
      <c r="Y87" s="82"/>
    </row>
    <row r="88" spans="24:25" ht="15">
      <c r="X88" s="82"/>
      <c r="Y88" s="82"/>
    </row>
    <row r="89" spans="24:25" ht="15">
      <c r="X89" s="82"/>
      <c r="Y89" s="82"/>
    </row>
    <row r="90" spans="24:25" ht="15">
      <c r="X90" s="82"/>
      <c r="Y90" s="82"/>
    </row>
    <row r="91" spans="24:25" ht="15">
      <c r="X91" s="82"/>
      <c r="Y91" s="82"/>
    </row>
    <row r="92" spans="24:25" ht="15">
      <c r="X92" s="82"/>
      <c r="Y92" s="82"/>
    </row>
    <row r="93" spans="8:25" ht="15">
      <c r="H93" s="88"/>
      <c r="I93" s="88"/>
      <c r="J93" s="88"/>
      <c r="X93" s="82"/>
      <c r="Y93" s="82"/>
    </row>
    <row r="94" spans="24:25" ht="15">
      <c r="X94" s="82"/>
      <c r="Y94" s="82"/>
    </row>
    <row r="95" spans="24:25" ht="15">
      <c r="X95" s="82"/>
      <c r="Y95" s="82"/>
    </row>
    <row r="96" spans="10:25" ht="15">
      <c r="J96" s="88"/>
      <c r="X96" s="82"/>
      <c r="Y96" s="82"/>
    </row>
    <row r="97" spans="24:25" ht="15">
      <c r="X97" s="82"/>
      <c r="Y97" s="82"/>
    </row>
    <row r="98" spans="24:25" ht="15">
      <c r="X98" s="82"/>
      <c r="Y98" s="82"/>
    </row>
    <row r="99" spans="24:25" ht="15">
      <c r="X99" s="82"/>
      <c r="Y99" s="82"/>
    </row>
    <row r="100" spans="24:25" ht="15">
      <c r="X100" s="82"/>
      <c r="Y100" s="82"/>
    </row>
    <row r="101" spans="24:25" ht="15">
      <c r="X101" s="82"/>
      <c r="Y101" s="82"/>
    </row>
    <row r="102" spans="24:25" ht="15">
      <c r="X102" s="82"/>
      <c r="Y102" s="82"/>
    </row>
    <row r="103" spans="24:25" ht="15">
      <c r="X103" s="82"/>
      <c r="Y103" s="82"/>
    </row>
    <row r="104" spans="24:25" ht="15">
      <c r="X104" s="82"/>
      <c r="Y104" s="82"/>
    </row>
    <row r="105" spans="24:25" ht="15">
      <c r="X105" s="82"/>
      <c r="Y105" s="82"/>
    </row>
    <row r="106" spans="24:25" ht="15">
      <c r="X106" s="82"/>
      <c r="Y106" s="82"/>
    </row>
    <row r="107" spans="24:25" ht="15">
      <c r="X107" s="82"/>
      <c r="Y107" s="82"/>
    </row>
    <row r="108" spans="24:25" ht="15">
      <c r="X108" s="82"/>
      <c r="Y108" s="82"/>
    </row>
  </sheetData>
  <sheetProtection/>
  <mergeCells count="3">
    <mergeCell ref="K6:N6"/>
    <mergeCell ref="K7:N7"/>
    <mergeCell ref="B13:C13"/>
  </mergeCells>
  <printOptions/>
  <pageMargins left="0.26" right="0.2362204724409449" top="0.4724409448818898" bottom="0.3937007874015748" header="0.1968503937007874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Baltic Business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</dc:creator>
  <cp:keywords/>
  <dc:description/>
  <cp:lastModifiedBy>Kasutaja</cp:lastModifiedBy>
  <cp:lastPrinted>2006-04-24T12:38:44Z</cp:lastPrinted>
  <dcterms:created xsi:type="dcterms:W3CDTF">2006-03-08T12:25:55Z</dcterms:created>
  <dcterms:modified xsi:type="dcterms:W3CDTF">2009-06-18T13:31:37Z</dcterms:modified>
  <cp:category/>
  <cp:version/>
  <cp:contentType/>
  <cp:contentStatus/>
</cp:coreProperties>
</file>