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120" yWindow="135" windowWidth="15480" windowHeight="7935"/>
  </bookViews>
  <sheets>
    <sheet name="Initial data" sheetId="2" r:id="rId1"/>
    <sheet name="Model" sheetId="1" r:id="rId2"/>
    <sheet name="Sensit" sheetId="7" r:id="rId3"/>
    <sheet name="Additional data" sheetId="3" r:id="rId4"/>
    <sheet name="Assump" sheetId="6" r:id="rId5"/>
    <sheet name="Liz.grafikas" sheetId="5" state="hidden" r:id="rId6"/>
  </sheets>
  <externalReferences>
    <externalReference r:id="rId7"/>
  </externalReferences>
  <definedNames>
    <definedName name="eur">(3.4528)</definedName>
    <definedName name="pvm">(1.21)</definedName>
    <definedName name="tt">1000</definedName>
  </definedNames>
  <calcPr calcId="125725"/>
</workbook>
</file>

<file path=xl/calcChain.xml><?xml version="1.0" encoding="utf-8"?>
<calcChain xmlns="http://schemas.openxmlformats.org/spreadsheetml/2006/main">
  <c r="C17" i="2"/>
  <c r="C18" s="1"/>
  <c r="C5"/>
  <c r="C31"/>
  <c r="I10" i="1"/>
  <c r="C12" i="3"/>
  <c r="C15" s="1"/>
  <c r="M10" i="1"/>
  <c r="Q10"/>
  <c r="S10"/>
  <c r="H10"/>
  <c r="E15"/>
  <c r="F15"/>
  <c r="G15"/>
  <c r="C20"/>
  <c r="C22"/>
  <c r="C15" i="2"/>
  <c r="C17" i="1"/>
  <c r="C19"/>
  <c r="E4"/>
  <c r="F4"/>
  <c r="G4"/>
  <c r="H4"/>
  <c r="I4"/>
  <c r="J4"/>
  <c r="B44" i="2"/>
  <c r="C52"/>
  <c r="C50"/>
  <c r="C55" s="1"/>
  <c r="A1" i="6"/>
  <c r="G12" i="7"/>
  <c r="G17"/>
  <c r="G87" i="1"/>
  <c r="G88"/>
  <c r="C14" i="2"/>
  <c r="C59"/>
  <c r="C6" i="3"/>
  <c r="C7" s="1"/>
  <c r="C5"/>
  <c r="C49" i="1" s="1"/>
  <c r="D55"/>
  <c r="E55"/>
  <c r="F55"/>
  <c r="G55"/>
  <c r="H55"/>
  <c r="C32"/>
  <c r="C25"/>
  <c r="C38" s="1"/>
  <c r="C57" i="2"/>
  <c r="E24" i="7"/>
  <c r="E23"/>
  <c r="I24"/>
  <c r="H24"/>
  <c r="G24"/>
  <c r="F24"/>
  <c r="I23"/>
  <c r="G23"/>
  <c r="F23"/>
  <c r="I22"/>
  <c r="H22"/>
  <c r="G22"/>
  <c r="F22"/>
  <c r="E22"/>
  <c r="I16"/>
  <c r="H16"/>
  <c r="F16"/>
  <c r="E16"/>
  <c r="I11"/>
  <c r="H11"/>
  <c r="F11"/>
  <c r="E11"/>
  <c r="C55" i="1"/>
  <c r="C54"/>
  <c r="D31"/>
  <c r="I31" s="1"/>
  <c r="J31" s="1"/>
  <c r="K31" s="1"/>
  <c r="L31" s="1"/>
  <c r="C41"/>
  <c r="D36"/>
  <c r="D35"/>
  <c r="E35" s="1"/>
  <c r="I35"/>
  <c r="J35" s="1"/>
  <c r="M31"/>
  <c r="N31" s="1"/>
  <c r="O31" s="1"/>
  <c r="P31" s="1"/>
  <c r="Q31" s="1"/>
  <c r="K35"/>
  <c r="L35" s="1"/>
  <c r="M35" s="1"/>
  <c r="R31"/>
  <c r="S31" s="1"/>
  <c r="T31" s="1"/>
  <c r="U31" s="1"/>
  <c r="V31" s="1"/>
  <c r="W31" s="1"/>
  <c r="X31" s="1"/>
  <c r="Y31" s="1"/>
  <c r="Z31" s="1"/>
  <c r="AA31" s="1"/>
  <c r="AB31" s="1"/>
  <c r="S7" i="5"/>
  <c r="S8"/>
  <c r="S9"/>
  <c r="S10"/>
  <c r="S11"/>
  <c r="S12"/>
  <c r="S13"/>
  <c r="U13" s="1"/>
  <c r="X13" s="1"/>
  <c r="S14"/>
  <c r="X7"/>
  <c r="U9"/>
  <c r="X9" s="1"/>
  <c r="S6"/>
  <c r="W5"/>
  <c r="W9"/>
  <c r="W11"/>
  <c r="T4"/>
  <c r="W4" s="1"/>
  <c r="T5"/>
  <c r="T6"/>
  <c r="W6" s="1"/>
  <c r="T7"/>
  <c r="W7" s="1"/>
  <c r="F6" i="3" s="1"/>
  <c r="F51" i="1" s="1"/>
  <c r="T8" i="5"/>
  <c r="W8" s="1"/>
  <c r="T9"/>
  <c r="T10"/>
  <c r="W10" s="1"/>
  <c r="T11"/>
  <c r="T12"/>
  <c r="W12" s="1"/>
  <c r="X12"/>
  <c r="T13"/>
  <c r="W13" s="1"/>
  <c r="T14"/>
  <c r="W14" s="1"/>
  <c r="T3"/>
  <c r="W3" s="1"/>
  <c r="R15"/>
  <c r="L5"/>
  <c r="L6"/>
  <c r="L7" s="1"/>
  <c r="L8"/>
  <c r="L9" s="1"/>
  <c r="L10" s="1"/>
  <c r="L11" s="1"/>
  <c r="L12"/>
  <c r="L13" s="1"/>
  <c r="L14" s="1"/>
  <c r="L15" s="1"/>
  <c r="L16" s="1"/>
  <c r="L17" s="1"/>
  <c r="L18" s="1"/>
  <c r="L19" s="1"/>
  <c r="L20" s="1"/>
  <c r="L21" s="1"/>
  <c r="L22" s="1"/>
  <c r="L23" s="1"/>
  <c r="L24" s="1"/>
  <c r="L25" s="1"/>
  <c r="L26" s="1"/>
  <c r="L27" s="1"/>
  <c r="L28" s="1"/>
  <c r="L29" s="1"/>
  <c r="L30" s="1"/>
  <c r="L31" s="1"/>
  <c r="L32" s="1"/>
  <c r="L33" s="1"/>
  <c r="L34" s="1"/>
  <c r="L35" s="1"/>
  <c r="L36" s="1"/>
  <c r="L37" s="1"/>
  <c r="L38" s="1"/>
  <c r="L39" s="1"/>
  <c r="L40" s="1"/>
  <c r="L41" s="1"/>
  <c r="L42" s="1"/>
  <c r="L43" s="1"/>
  <c r="L44" s="1"/>
  <c r="L45" s="1"/>
  <c r="L46" s="1"/>
  <c r="L47" s="1"/>
  <c r="L48" s="1"/>
  <c r="L49" s="1"/>
  <c r="L50" s="1"/>
  <c r="L51" s="1"/>
  <c r="L52" s="1"/>
  <c r="L53" s="1"/>
  <c r="L54" s="1"/>
  <c r="L55" s="1"/>
  <c r="L56" s="1"/>
  <c r="L57" s="1"/>
  <c r="L58" s="1"/>
  <c r="L59" s="1"/>
  <c r="L60" s="1"/>
  <c r="L61" s="1"/>
  <c r="L62" s="1"/>
  <c r="L63" s="1"/>
  <c r="L64" s="1"/>
  <c r="L65" s="1"/>
  <c r="L66" s="1"/>
  <c r="L67" s="1"/>
  <c r="L68" s="1"/>
  <c r="L69" s="1"/>
  <c r="L70" s="1"/>
  <c r="L71" s="1"/>
  <c r="L72" s="1"/>
  <c r="L73" s="1"/>
  <c r="L74" s="1"/>
  <c r="L75" s="1"/>
  <c r="L76" s="1"/>
  <c r="L77" s="1"/>
  <c r="L78" s="1"/>
  <c r="L79" s="1"/>
  <c r="L80" s="1"/>
  <c r="L81" s="1"/>
  <c r="L82" s="1"/>
  <c r="L83" s="1"/>
  <c r="L84" s="1"/>
  <c r="L85" s="1"/>
  <c r="L86" s="1"/>
  <c r="L87" s="1"/>
  <c r="L88" s="1"/>
  <c r="L89" s="1"/>
  <c r="L90" s="1"/>
  <c r="L91" s="1"/>
  <c r="L92" s="1"/>
  <c r="L93" s="1"/>
  <c r="L94" s="1"/>
  <c r="L95" s="1"/>
  <c r="L96" s="1"/>
  <c r="L97" s="1"/>
  <c r="L98" s="1"/>
  <c r="L99" s="1"/>
  <c r="L100" s="1"/>
  <c r="L101" s="1"/>
  <c r="L102" s="1"/>
  <c r="L103" s="1"/>
  <c r="L104" s="1"/>
  <c r="L105" s="1"/>
  <c r="L106" s="1"/>
  <c r="L107" s="1"/>
  <c r="L108" s="1"/>
  <c r="L109" s="1"/>
  <c r="L110" s="1"/>
  <c r="L111" s="1"/>
  <c r="L112" s="1"/>
  <c r="L113" s="1"/>
  <c r="L114" s="1"/>
  <c r="L115" s="1"/>
  <c r="L116" s="1"/>
  <c r="L117" s="1"/>
  <c r="L118" s="1"/>
  <c r="L119" s="1"/>
  <c r="L120" s="1"/>
  <c r="L121" s="1"/>
  <c r="L122" s="1"/>
  <c r="I6"/>
  <c r="I7"/>
  <c r="I8"/>
  <c r="I9"/>
  <c r="I10"/>
  <c r="I11"/>
  <c r="I12"/>
  <c r="U12" s="1"/>
  <c r="I13"/>
  <c r="I14"/>
  <c r="G14"/>
  <c r="G13"/>
  <c r="G12"/>
  <c r="G11"/>
  <c r="G10" s="1"/>
  <c r="G9" s="1"/>
  <c r="G8" s="1"/>
  <c r="G7" s="1"/>
  <c r="G6" s="1"/>
  <c r="G5" s="1"/>
  <c r="G4" s="1"/>
  <c r="G3"/>
  <c r="B14"/>
  <c r="B13"/>
  <c r="B12"/>
  <c r="B11"/>
  <c r="B10" s="1"/>
  <c r="B9" s="1"/>
  <c r="B8" s="1"/>
  <c r="B7"/>
  <c r="B6" s="1"/>
  <c r="B5" s="1"/>
  <c r="B4" s="1"/>
  <c r="B3" s="1"/>
  <c r="D6"/>
  <c r="D7"/>
  <c r="U7" s="1"/>
  <c r="D8"/>
  <c r="D9"/>
  <c r="D10"/>
  <c r="D11"/>
  <c r="U11" s="1"/>
  <c r="X11" s="1"/>
  <c r="D12"/>
  <c r="D13"/>
  <c r="D14"/>
  <c r="I16"/>
  <c r="I17"/>
  <c r="I18"/>
  <c r="I19"/>
  <c r="I20"/>
  <c r="I21"/>
  <c r="I22"/>
  <c r="I23"/>
  <c r="I24"/>
  <c r="I25"/>
  <c r="I26"/>
  <c r="I27"/>
  <c r="I28"/>
  <c r="I29"/>
  <c r="I30"/>
  <c r="I31"/>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5"/>
  <c r="G16"/>
  <c r="G17"/>
  <c r="G18" s="1"/>
  <c r="G19" s="1"/>
  <c r="G20" s="1"/>
  <c r="G21" s="1"/>
  <c r="G22" s="1"/>
  <c r="G23" s="1"/>
  <c r="G24" s="1"/>
  <c r="G25" s="1"/>
  <c r="G26" s="1"/>
  <c r="G27" s="1"/>
  <c r="G28" s="1"/>
  <c r="G29" s="1"/>
  <c r="G30" s="1"/>
  <c r="G31" s="1"/>
  <c r="G32" s="1"/>
  <c r="G33" s="1"/>
  <c r="G34" s="1"/>
  <c r="G35" s="1"/>
  <c r="G36" s="1"/>
  <c r="G37" s="1"/>
  <c r="G38" s="1"/>
  <c r="G39" s="1"/>
  <c r="G40" s="1"/>
  <c r="G41" s="1"/>
  <c r="G42" s="1"/>
  <c r="G43" s="1"/>
  <c r="G44" s="1"/>
  <c r="G45" s="1"/>
  <c r="G46" s="1"/>
  <c r="G47" s="1"/>
  <c r="G48" s="1"/>
  <c r="G49" s="1"/>
  <c r="G50" s="1"/>
  <c r="G51" s="1"/>
  <c r="G52" s="1"/>
  <c r="G53" s="1"/>
  <c r="G54" s="1"/>
  <c r="G55" s="1"/>
  <c r="G56" s="1"/>
  <c r="G57" s="1"/>
  <c r="G58" s="1"/>
  <c r="G59" s="1"/>
  <c r="G60" s="1"/>
  <c r="G61" s="1"/>
  <c r="G62" s="1"/>
  <c r="G63" s="1"/>
  <c r="G64" s="1"/>
  <c r="G65" s="1"/>
  <c r="G66" s="1"/>
  <c r="G67" s="1"/>
  <c r="G68" s="1"/>
  <c r="G69" s="1"/>
  <c r="G70" s="1"/>
  <c r="G71" s="1"/>
  <c r="G72" s="1"/>
  <c r="G73" s="1"/>
  <c r="G74" s="1"/>
  <c r="G75" s="1"/>
  <c r="G76" s="1"/>
  <c r="G77" s="1"/>
  <c r="G78" s="1"/>
  <c r="G79" s="1"/>
  <c r="G80" s="1"/>
  <c r="G81" s="1"/>
  <c r="G82" s="1"/>
  <c r="G83" s="1"/>
  <c r="G84" s="1"/>
  <c r="G85" s="1"/>
  <c r="G86" s="1"/>
  <c r="G87" s="1"/>
  <c r="G88" s="1"/>
  <c r="G89" s="1"/>
  <c r="G90" s="1"/>
  <c r="G91" s="1"/>
  <c r="G92" s="1"/>
  <c r="G93" s="1"/>
  <c r="G94" s="1"/>
  <c r="G95" s="1"/>
  <c r="G96" s="1"/>
  <c r="G97" s="1"/>
  <c r="G98" s="1"/>
  <c r="G99" s="1"/>
  <c r="G100" s="1"/>
  <c r="G101" s="1"/>
  <c r="G102" s="1"/>
  <c r="G103" s="1"/>
  <c r="G104" s="1"/>
  <c r="G105" s="1"/>
  <c r="G106" s="1"/>
  <c r="G107" s="1"/>
  <c r="G108" s="1"/>
  <c r="G109" s="1"/>
  <c r="G110" s="1"/>
  <c r="G111" s="1"/>
  <c r="G112" s="1"/>
  <c r="G113" s="1"/>
  <c r="G114" s="1"/>
  <c r="G115" s="1"/>
  <c r="G116" s="1"/>
  <c r="G117" s="1"/>
  <c r="G118" s="1"/>
  <c r="G119" s="1"/>
  <c r="G120" s="1"/>
  <c r="G121" s="1"/>
  <c r="G122" s="1"/>
  <c r="D16"/>
  <c r="D17"/>
  <c r="D18"/>
  <c r="D19"/>
  <c r="D20"/>
  <c r="D21"/>
  <c r="D22"/>
  <c r="D23"/>
  <c r="D24"/>
  <c r="D25"/>
  <c r="D26"/>
  <c r="D27"/>
  <c r="D28"/>
  <c r="D29"/>
  <c r="D30"/>
  <c r="D31"/>
  <c r="D32"/>
  <c r="D33"/>
  <c r="D34"/>
  <c r="D35"/>
  <c r="D36"/>
  <c r="D37"/>
  <c r="D38"/>
  <c r="D39"/>
  <c r="D40"/>
  <c r="D41"/>
  <c r="D42"/>
  <c r="D43"/>
  <c r="D44"/>
  <c r="D45"/>
  <c r="D46"/>
  <c r="D47"/>
  <c r="D48"/>
  <c r="D49"/>
  <c r="D50"/>
  <c r="D51"/>
  <c r="D52"/>
  <c r="D53"/>
  <c r="D54"/>
  <c r="D55"/>
  <c r="D56"/>
  <c r="D57"/>
  <c r="D58"/>
  <c r="D59"/>
  <c r="D60"/>
  <c r="D61"/>
  <c r="D62"/>
  <c r="D63"/>
  <c r="D64"/>
  <c r="D65"/>
  <c r="D66"/>
  <c r="D67"/>
  <c r="D68"/>
  <c r="D69"/>
  <c r="D70"/>
  <c r="D71"/>
  <c r="D72"/>
  <c r="D73"/>
  <c r="D74"/>
  <c r="D75"/>
  <c r="D76"/>
  <c r="D77"/>
  <c r="D78"/>
  <c r="D79"/>
  <c r="D80"/>
  <c r="D81"/>
  <c r="D82"/>
  <c r="D83"/>
  <c r="D84"/>
  <c r="D85"/>
  <c r="D86"/>
  <c r="D87"/>
  <c r="D88"/>
  <c r="D89"/>
  <c r="D90"/>
  <c r="D91"/>
  <c r="D92"/>
  <c r="D93"/>
  <c r="D94"/>
  <c r="D95"/>
  <c r="D96"/>
  <c r="D97"/>
  <c r="D98"/>
  <c r="D99"/>
  <c r="D100"/>
  <c r="D101"/>
  <c r="D102"/>
  <c r="D103"/>
  <c r="D104"/>
  <c r="D105"/>
  <c r="D106"/>
  <c r="D107"/>
  <c r="D108"/>
  <c r="D109"/>
  <c r="D110"/>
  <c r="D111"/>
  <c r="D112"/>
  <c r="D113"/>
  <c r="D114"/>
  <c r="D115"/>
  <c r="D116"/>
  <c r="D117"/>
  <c r="D118"/>
  <c r="D119"/>
  <c r="D120"/>
  <c r="D121"/>
  <c r="D15"/>
  <c r="B16"/>
  <c r="B17" s="1"/>
  <c r="B18"/>
  <c r="B19"/>
  <c r="B20" s="1"/>
  <c r="B21"/>
  <c r="B22" s="1"/>
  <c r="B23" s="1"/>
  <c r="B24" s="1"/>
  <c r="C46" i="2"/>
  <c r="Q6" i="5"/>
  <c r="Q7" s="1"/>
  <c r="Q8" s="1"/>
  <c r="Q9" s="1"/>
  <c r="Q10" s="1"/>
  <c r="Q11" s="1"/>
  <c r="Q12" s="1"/>
  <c r="Q13" s="1"/>
  <c r="Q14" s="1"/>
  <c r="Q15" s="1"/>
  <c r="Q16" s="1"/>
  <c r="C43" i="2"/>
  <c r="U4" i="5"/>
  <c r="X4" s="1"/>
  <c r="U3"/>
  <c r="X3" s="1"/>
  <c r="E9" i="3" s="1"/>
  <c r="U5" i="5"/>
  <c r="X5"/>
  <c r="B25"/>
  <c r="B26" s="1"/>
  <c r="B27" s="1"/>
  <c r="B28" s="1"/>
  <c r="B29" s="1"/>
  <c r="B30" s="1"/>
  <c r="B31" s="1"/>
  <c r="B32" s="1"/>
  <c r="B33" s="1"/>
  <c r="B34" s="1"/>
  <c r="B35" s="1"/>
  <c r="B36" s="1"/>
  <c r="B37" s="1"/>
  <c r="B38" s="1"/>
  <c r="B39" s="1"/>
  <c r="B40" s="1"/>
  <c r="B41" s="1"/>
  <c r="B42" s="1"/>
  <c r="B43" s="1"/>
  <c r="B44" s="1"/>
  <c r="B45" s="1"/>
  <c r="B46" s="1"/>
  <c r="B47" s="1"/>
  <c r="B48" s="1"/>
  <c r="B49" s="1"/>
  <c r="B50" s="1"/>
  <c r="B51" s="1"/>
  <c r="B52" s="1"/>
  <c r="B53" s="1"/>
  <c r="B54" s="1"/>
  <c r="B55" s="1"/>
  <c r="B56" s="1"/>
  <c r="B57" s="1"/>
  <c r="B58" s="1"/>
  <c r="B59" s="1"/>
  <c r="B60" s="1"/>
  <c r="B61" s="1"/>
  <c r="B62" s="1"/>
  <c r="B63" s="1"/>
  <c r="B64" s="1"/>
  <c r="B65" s="1"/>
  <c r="B66" s="1"/>
  <c r="B67" s="1"/>
  <c r="B68" s="1"/>
  <c r="B69" s="1"/>
  <c r="B70" s="1"/>
  <c r="B71" s="1"/>
  <c r="B72" s="1"/>
  <c r="B73" s="1"/>
  <c r="B74" s="1"/>
  <c r="B75" s="1"/>
  <c r="B76" s="1"/>
  <c r="B77" s="1"/>
  <c r="B78" s="1"/>
  <c r="B79" s="1"/>
  <c r="B80" s="1"/>
  <c r="B81" s="1"/>
  <c r="B82" s="1"/>
  <c r="B83" s="1"/>
  <c r="B84" s="1"/>
  <c r="B85" s="1"/>
  <c r="B86" s="1"/>
  <c r="B87" s="1"/>
  <c r="B88" s="1"/>
  <c r="B89" s="1"/>
  <c r="B90" s="1"/>
  <c r="B91" s="1"/>
  <c r="B92" s="1"/>
  <c r="B93" s="1"/>
  <c r="B94" s="1"/>
  <c r="B95" s="1"/>
  <c r="B96" s="1"/>
  <c r="B97" s="1"/>
  <c r="B98" s="1"/>
  <c r="B99" s="1"/>
  <c r="B100" s="1"/>
  <c r="B101" s="1"/>
  <c r="B102" s="1"/>
  <c r="B103" s="1"/>
  <c r="B104" s="1"/>
  <c r="B105" s="1"/>
  <c r="B106" s="1"/>
  <c r="B107" s="1"/>
  <c r="B108" s="1"/>
  <c r="B109" s="1"/>
  <c r="B110" s="1"/>
  <c r="B111" s="1"/>
  <c r="B112" s="1"/>
  <c r="B113" s="1"/>
  <c r="B114" s="1"/>
  <c r="B115" s="1"/>
  <c r="B116" s="1"/>
  <c r="B117" s="1"/>
  <c r="B118" s="1"/>
  <c r="B119" s="1"/>
  <c r="B120" s="1"/>
  <c r="B121" s="1"/>
  <c r="B122" s="1"/>
  <c r="C41" i="2"/>
  <c r="C42"/>
  <c r="C44"/>
  <c r="C54"/>
  <c r="B55"/>
  <c r="C30" i="1" s="1"/>
  <c r="C51" i="2"/>
  <c r="C53"/>
  <c r="AB51" i="1"/>
  <c r="AB24" i="3"/>
  <c r="AB36"/>
  <c r="Q36"/>
  <c r="R36"/>
  <c r="S36"/>
  <c r="T36"/>
  <c r="U36"/>
  <c r="V36"/>
  <c r="W36"/>
  <c r="X36"/>
  <c r="Y36"/>
  <c r="Z36"/>
  <c r="AA36"/>
  <c r="T51" i="1"/>
  <c r="U51"/>
  <c r="V51"/>
  <c r="W51"/>
  <c r="X51"/>
  <c r="Y51"/>
  <c r="Z51"/>
  <c r="AA51"/>
  <c r="C51"/>
  <c r="C4" i="2"/>
  <c r="O10" i="1" s="1"/>
  <c r="C36" i="3"/>
  <c r="B15"/>
  <c r="T24"/>
  <c r="AA24"/>
  <c r="V24"/>
  <c r="U24"/>
  <c r="S24"/>
  <c r="Z24"/>
  <c r="W24"/>
  <c r="R24"/>
  <c r="Q24"/>
  <c r="X24"/>
  <c r="Y24"/>
  <c r="C40" i="2"/>
  <c r="I16" i="1" s="1"/>
  <c r="R51"/>
  <c r="S51"/>
  <c r="H23" i="7"/>
  <c r="C58" i="1" l="1"/>
  <c r="E22"/>
  <c r="D5" i="3"/>
  <c r="C39" i="1"/>
  <c r="C28" i="3"/>
  <c r="C48" i="1"/>
  <c r="C21" i="3"/>
  <c r="H6" i="1"/>
  <c r="H7" s="1"/>
  <c r="E6"/>
  <c r="I6"/>
  <c r="G6"/>
  <c r="G7" s="1"/>
  <c r="F6"/>
  <c r="F7" s="1"/>
  <c r="H16"/>
  <c r="A80"/>
  <c r="S15" i="5"/>
  <c r="U15" s="1"/>
  <c r="X15" s="1"/>
  <c r="R16"/>
  <c r="T15"/>
  <c r="W15" s="1"/>
  <c r="C21" i="1"/>
  <c r="C35" i="3"/>
  <c r="C46" i="1"/>
  <c r="C61"/>
  <c r="C62"/>
  <c r="N35"/>
  <c r="E16"/>
  <c r="G16"/>
  <c r="F35"/>
  <c r="D12" i="3"/>
  <c r="D15" s="1"/>
  <c r="C40" i="1"/>
  <c r="R10"/>
  <c r="T10"/>
  <c r="AB10"/>
  <c r="X10"/>
  <c r="Y10"/>
  <c r="AA10"/>
  <c r="G6" i="7"/>
  <c r="U10" i="1"/>
  <c r="W10"/>
  <c r="Z10"/>
  <c r="E36"/>
  <c r="I36"/>
  <c r="J16"/>
  <c r="H11"/>
  <c r="G6" i="3"/>
  <c r="G51" i="1" s="1"/>
  <c r="K4"/>
  <c r="C50"/>
  <c r="C37" i="3"/>
  <c r="H6"/>
  <c r="H51" i="1" s="1"/>
  <c r="U10" i="5"/>
  <c r="X10" s="1"/>
  <c r="G9" i="3" s="1"/>
  <c r="V10" i="1"/>
  <c r="G17"/>
  <c r="F10"/>
  <c r="N10"/>
  <c r="J10"/>
  <c r="L10"/>
  <c r="P10"/>
  <c r="U14" i="5"/>
  <c r="X14" s="1"/>
  <c r="H9" i="3" s="1"/>
  <c r="G10" i="1"/>
  <c r="K10"/>
  <c r="D10"/>
  <c r="U6" i="5"/>
  <c r="X6" s="1"/>
  <c r="E6" i="3"/>
  <c r="U8" i="5"/>
  <c r="X8" s="1"/>
  <c r="F16" i="1"/>
  <c r="F17" s="1"/>
  <c r="E10"/>
  <c r="H22" l="1"/>
  <c r="H50" s="1"/>
  <c r="G22"/>
  <c r="G50" s="1"/>
  <c r="D6" i="3"/>
  <c r="D51" i="1" s="1"/>
  <c r="E51"/>
  <c r="F36"/>
  <c r="G36" s="1"/>
  <c r="H36" s="1"/>
  <c r="C74"/>
  <c r="C77" s="1"/>
  <c r="I7"/>
  <c r="J6"/>
  <c r="J36"/>
  <c r="G35"/>
  <c r="E5" i="3"/>
  <c r="O35" i="1"/>
  <c r="S16" i="5"/>
  <c r="U16" s="1"/>
  <c r="X16" s="1"/>
  <c r="R17"/>
  <c r="T16"/>
  <c r="W16" s="1"/>
  <c r="E12" i="3"/>
  <c r="D40" i="1"/>
  <c r="C31" i="3"/>
  <c r="C29" i="1" s="1"/>
  <c r="C33" s="1"/>
  <c r="D28" i="3"/>
  <c r="H6" i="7"/>
  <c r="E6"/>
  <c r="I6"/>
  <c r="F6"/>
  <c r="D16" i="1"/>
  <c r="E17"/>
  <c r="C64"/>
  <c r="K16"/>
  <c r="L4"/>
  <c r="D21" i="3"/>
  <c r="C24"/>
  <c r="F84" i="1"/>
  <c r="A81"/>
  <c r="F85" s="1"/>
  <c r="C73"/>
  <c r="C76" s="1"/>
  <c r="E7"/>
  <c r="D7" s="1"/>
  <c r="D6"/>
  <c r="E50"/>
  <c r="G11"/>
  <c r="G13" s="1"/>
  <c r="C38" i="3"/>
  <c r="Q17" i="5"/>
  <c r="Q18" s="1"/>
  <c r="F11" i="1"/>
  <c r="F13" s="1"/>
  <c r="F9" i="3"/>
  <c r="D7" l="1"/>
  <c r="D39" i="1" s="1"/>
  <c r="J7"/>
  <c r="K6"/>
  <c r="F30"/>
  <c r="F19"/>
  <c r="C67"/>
  <c r="C80" s="1"/>
  <c r="G84" s="1"/>
  <c r="C65"/>
  <c r="P35"/>
  <c r="K36"/>
  <c r="E28" i="3"/>
  <c r="G30" i="1"/>
  <c r="G19"/>
  <c r="H15"/>
  <c r="H12"/>
  <c r="L16"/>
  <c r="M4"/>
  <c r="H35"/>
  <c r="F22"/>
  <c r="D9" i="3"/>
  <c r="E21"/>
  <c r="S17" i="5"/>
  <c r="U17" s="1"/>
  <c r="X17" s="1"/>
  <c r="R18"/>
  <c r="T17"/>
  <c r="W17" s="1"/>
  <c r="C44" i="3"/>
  <c r="C39"/>
  <c r="E17"/>
  <c r="E15"/>
  <c r="E7"/>
  <c r="E39" i="1" s="1"/>
  <c r="F5" i="3"/>
  <c r="I12" i="1"/>
  <c r="I15"/>
  <c r="I17" s="1"/>
  <c r="I11"/>
  <c r="Q19" i="5"/>
  <c r="E11" i="1"/>
  <c r="I13" l="1"/>
  <c r="I19"/>
  <c r="I30"/>
  <c r="E29" i="3"/>
  <c r="F28"/>
  <c r="R19" i="5"/>
  <c r="T18"/>
  <c r="W18" s="1"/>
  <c r="S18"/>
  <c r="U18" s="1"/>
  <c r="X18" s="1"/>
  <c r="C68" i="1"/>
  <c r="C81" s="1"/>
  <c r="G85" s="1"/>
  <c r="J15"/>
  <c r="J17" s="1"/>
  <c r="J11"/>
  <c r="J13" s="1"/>
  <c r="E54"/>
  <c r="E58" s="1"/>
  <c r="E23"/>
  <c r="E37" i="3"/>
  <c r="K7" i="1"/>
  <c r="L6"/>
  <c r="F12" i="3"/>
  <c r="E40" i="1"/>
  <c r="C45" i="3"/>
  <c r="C40" s="1"/>
  <c r="C41" s="1"/>
  <c r="C47" i="1" s="1"/>
  <c r="C52" s="1"/>
  <c r="F50"/>
  <c r="D22"/>
  <c r="D50" s="1"/>
  <c r="G62"/>
  <c r="G61"/>
  <c r="G35" i="3"/>
  <c r="G41" i="1"/>
  <c r="G46"/>
  <c r="Q35"/>
  <c r="C24"/>
  <c r="C26" s="1"/>
  <c r="C37" s="1"/>
  <c r="H17"/>
  <c r="D15"/>
  <c r="D17" s="1"/>
  <c r="F41"/>
  <c r="F46"/>
  <c r="F62"/>
  <c r="F61"/>
  <c r="F35" i="3"/>
  <c r="G5"/>
  <c r="F7"/>
  <c r="F39" i="1" s="1"/>
  <c r="D12"/>
  <c r="H13"/>
  <c r="L36"/>
  <c r="E22" i="3"/>
  <c r="F21"/>
  <c r="Q20" i="5"/>
  <c r="C70" i="1"/>
  <c r="D11"/>
  <c r="E13"/>
  <c r="M16"/>
  <c r="N4"/>
  <c r="D13" l="1"/>
  <c r="D19" s="1"/>
  <c r="F74"/>
  <c r="G74"/>
  <c r="F73"/>
  <c r="C42"/>
  <c r="C43" s="1"/>
  <c r="G73"/>
  <c r="M6"/>
  <c r="L7"/>
  <c r="D61"/>
  <c r="D62"/>
  <c r="D46"/>
  <c r="E25"/>
  <c r="E38" s="1"/>
  <c r="E36" i="3"/>
  <c r="E23"/>
  <c r="E24" s="1"/>
  <c r="F17"/>
  <c r="F15"/>
  <c r="E30"/>
  <c r="E31" s="1"/>
  <c r="E29" i="1" s="1"/>
  <c r="F30" i="3"/>
  <c r="F31" s="1"/>
  <c r="F29" i="1" s="1"/>
  <c r="E20"/>
  <c r="E30"/>
  <c r="E19"/>
  <c r="F22" i="3"/>
  <c r="G21"/>
  <c r="G7"/>
  <c r="G39" i="1" s="1"/>
  <c r="H5" i="3"/>
  <c r="H7" s="1"/>
  <c r="J30" i="1"/>
  <c r="J19"/>
  <c r="F29" i="3"/>
  <c r="F20" i="1" s="1"/>
  <c r="F21" s="1"/>
  <c r="G28" i="3"/>
  <c r="N16" i="1"/>
  <c r="O4"/>
  <c r="S19" i="5"/>
  <c r="U19" s="1"/>
  <c r="X19" s="1"/>
  <c r="R20"/>
  <c r="T19"/>
  <c r="W19" s="1"/>
  <c r="H19" i="1"/>
  <c r="H30"/>
  <c r="D30" s="1"/>
  <c r="R35"/>
  <c r="I41"/>
  <c r="I61"/>
  <c r="I35" i="3"/>
  <c r="I46" i="1"/>
  <c r="I62"/>
  <c r="M36"/>
  <c r="Q21" i="5"/>
  <c r="C71" i="1"/>
  <c r="C47" i="3"/>
  <c r="D43" s="1"/>
  <c r="K15" i="1"/>
  <c r="K17" s="1"/>
  <c r="K11"/>
  <c r="K13" s="1"/>
  <c r="G29" i="3" l="1"/>
  <c r="H28"/>
  <c r="D74" i="1"/>
  <c r="D77" s="1"/>
  <c r="G12" i="3"/>
  <c r="F40" i="1"/>
  <c r="I5" i="3"/>
  <c r="H39" i="1"/>
  <c r="R21" i="5"/>
  <c r="T20"/>
  <c r="W20" s="1"/>
  <c r="S20"/>
  <c r="U20" s="1"/>
  <c r="X20" s="1"/>
  <c r="N6" i="1"/>
  <c r="M7"/>
  <c r="J61"/>
  <c r="J35" i="3"/>
  <c r="J62" i="1"/>
  <c r="J41"/>
  <c r="J46"/>
  <c r="L15"/>
  <c r="L17" s="1"/>
  <c r="L11"/>
  <c r="L13" s="1"/>
  <c r="K19"/>
  <c r="K30"/>
  <c r="H62"/>
  <c r="H46"/>
  <c r="H61"/>
  <c r="H35" i="3"/>
  <c r="H41" i="1"/>
  <c r="D41" s="1"/>
  <c r="E35" i="3"/>
  <c r="E21" i="1"/>
  <c r="E41"/>
  <c r="E61"/>
  <c r="E62"/>
  <c r="E46"/>
  <c r="F23" i="3"/>
  <c r="F24" s="1"/>
  <c r="F36"/>
  <c r="F25" i="1"/>
  <c r="F38" s="1"/>
  <c r="D73"/>
  <c r="D76" s="1"/>
  <c r="S35"/>
  <c r="G22" i="3"/>
  <c r="H21"/>
  <c r="N36" i="1"/>
  <c r="F23"/>
  <c r="F54"/>
  <c r="F58" s="1"/>
  <c r="F37" i="3"/>
  <c r="O16" i="1"/>
  <c r="P4"/>
  <c r="G36" i="3" l="1"/>
  <c r="G25" i="1"/>
  <c r="G38" s="1"/>
  <c r="E38" i="3"/>
  <c r="D35"/>
  <c r="H74" i="1"/>
  <c r="E64"/>
  <c r="S21" i="5"/>
  <c r="U21" s="1"/>
  <c r="X21" s="1"/>
  <c r="R22"/>
  <c r="T21"/>
  <c r="W21" s="1"/>
  <c r="I21" i="3"/>
  <c r="H22"/>
  <c r="D22" s="1"/>
  <c r="H73" i="1"/>
  <c r="P16"/>
  <c r="Q4"/>
  <c r="O36"/>
  <c r="E73"/>
  <c r="E76" s="1"/>
  <c r="F76" s="1"/>
  <c r="G76" s="1"/>
  <c r="G15" i="3"/>
  <c r="G17"/>
  <c r="E74" i="1"/>
  <c r="E77" s="1"/>
  <c r="F77" s="1"/>
  <c r="G77" s="1"/>
  <c r="H77" s="1"/>
  <c r="O6"/>
  <c r="N7"/>
  <c r="T35"/>
  <c r="L30"/>
  <c r="L19"/>
  <c r="M15"/>
  <c r="M17" s="1"/>
  <c r="M11"/>
  <c r="M13" s="1"/>
  <c r="G20"/>
  <c r="G30" i="3"/>
  <c r="G31" s="1"/>
  <c r="G29" i="1" s="1"/>
  <c r="K61"/>
  <c r="K62"/>
  <c r="K46"/>
  <c r="K35" i="3"/>
  <c r="K41" i="1"/>
  <c r="I28" i="3"/>
  <c r="H29"/>
  <c r="F38"/>
  <c r="F44" s="1"/>
  <c r="G23"/>
  <c r="G24" s="1"/>
  <c r="Q22" i="5"/>
  <c r="F64" i="1"/>
  <c r="P36" l="1"/>
  <c r="E39" i="3"/>
  <c r="F39"/>
  <c r="F45" s="1"/>
  <c r="F40" s="1"/>
  <c r="E44"/>
  <c r="O7" i="1"/>
  <c r="P6"/>
  <c r="G21"/>
  <c r="G23"/>
  <c r="G54"/>
  <c r="G58" s="1"/>
  <c r="G37" i="3"/>
  <c r="G38" s="1"/>
  <c r="H30"/>
  <c r="I30"/>
  <c r="I31" s="1"/>
  <c r="I29" i="1" s="1"/>
  <c r="Q23" i="5"/>
  <c r="I29" i="3"/>
  <c r="J28"/>
  <c r="L41" i="1"/>
  <c r="L46"/>
  <c r="L61"/>
  <c r="L62"/>
  <c r="L35" i="3"/>
  <c r="R4" i="1"/>
  <c r="Q16"/>
  <c r="R23" i="5"/>
  <c r="T22"/>
  <c r="W22" s="1"/>
  <c r="S22"/>
  <c r="U22" s="1"/>
  <c r="X22" s="1"/>
  <c r="H20" i="1"/>
  <c r="H21" s="1"/>
  <c r="M19"/>
  <c r="M30"/>
  <c r="I22" i="3"/>
  <c r="J21"/>
  <c r="N15" i="1"/>
  <c r="N17" s="1"/>
  <c r="N11"/>
  <c r="N13" s="1"/>
  <c r="F65"/>
  <c r="F70"/>
  <c r="F67"/>
  <c r="F80" s="1"/>
  <c r="U35"/>
  <c r="H36" i="3"/>
  <c r="H25" i="1"/>
  <c r="H38" s="1"/>
  <c r="E65"/>
  <c r="E67"/>
  <c r="E80" s="1"/>
  <c r="H12" i="3"/>
  <c r="G40" i="1"/>
  <c r="D29" i="3"/>
  <c r="D25" i="1" s="1"/>
  <c r="D38" s="1"/>
  <c r="H23" i="3"/>
  <c r="H76" i="1"/>
  <c r="G44" i="3" l="1"/>
  <c r="G39"/>
  <c r="G24" i="1" s="1"/>
  <c r="G26" s="1"/>
  <c r="M46"/>
  <c r="M61"/>
  <c r="M41"/>
  <c r="M62"/>
  <c r="M35" i="3"/>
  <c r="D30"/>
  <c r="D31" s="1"/>
  <c r="D29" i="1" s="1"/>
  <c r="H31" i="3"/>
  <c r="H29" i="1" s="1"/>
  <c r="O15"/>
  <c r="O17" s="1"/>
  <c r="O11"/>
  <c r="O13" s="1"/>
  <c r="Q36"/>
  <c r="V35"/>
  <c r="I36" i="3"/>
  <c r="I25" i="1"/>
  <c r="I38" s="1"/>
  <c r="I23" i="3"/>
  <c r="I24" s="1"/>
  <c r="Q6" i="1"/>
  <c r="P7"/>
  <c r="E70"/>
  <c r="H17" i="3"/>
  <c r="H15"/>
  <c r="G64" i="1"/>
  <c r="J22" i="3"/>
  <c r="K21"/>
  <c r="R16" i="1"/>
  <c r="S4"/>
  <c r="I20"/>
  <c r="I21" s="1"/>
  <c r="E24"/>
  <c r="E26" s="1"/>
  <c r="E37" s="1"/>
  <c r="D36" i="3"/>
  <c r="J29"/>
  <c r="J30" s="1"/>
  <c r="J31" s="1"/>
  <c r="J29" i="1" s="1"/>
  <c r="K28" i="3"/>
  <c r="D20" i="1"/>
  <c r="D21" s="1"/>
  <c r="Q24" i="5"/>
  <c r="E68" i="1"/>
  <c r="E81" s="1"/>
  <c r="N30"/>
  <c r="N19"/>
  <c r="S23" i="5"/>
  <c r="U23" s="1"/>
  <c r="X23" s="1"/>
  <c r="R24"/>
  <c r="T23"/>
  <c r="W23" s="1"/>
  <c r="F41" i="3"/>
  <c r="F47" i="1" s="1"/>
  <c r="F52" s="1"/>
  <c r="F24"/>
  <c r="F26" s="1"/>
  <c r="D23" i="3"/>
  <c r="D24" s="1"/>
  <c r="H24"/>
  <c r="F68" i="1"/>
  <c r="F81" s="1"/>
  <c r="E45" i="3"/>
  <c r="E40" s="1"/>
  <c r="E41" s="1"/>
  <c r="E47" i="1" s="1"/>
  <c r="E52" s="1"/>
  <c r="G45" i="3" l="1"/>
  <c r="G40" s="1"/>
  <c r="G41" s="1"/>
  <c r="G47" i="1" s="1"/>
  <c r="G52" s="1"/>
  <c r="N62"/>
  <c r="N61"/>
  <c r="N46"/>
  <c r="N35" i="3"/>
  <c r="N41" i="1"/>
  <c r="R25" i="5"/>
  <c r="T24"/>
  <c r="W24" s="1"/>
  <c r="S24"/>
  <c r="U24" s="1"/>
  <c r="X24" s="1"/>
  <c r="F37" i="1"/>
  <c r="E42"/>
  <c r="E32"/>
  <c r="E33" s="1"/>
  <c r="J25"/>
  <c r="J38" s="1"/>
  <c r="J36" i="3"/>
  <c r="J23"/>
  <c r="J24" s="1"/>
  <c r="F71" i="1"/>
  <c r="Q25" i="5"/>
  <c r="Q26" s="1"/>
  <c r="L21" i="3"/>
  <c r="K22"/>
  <c r="W35" i="1"/>
  <c r="J20"/>
  <c r="J21" s="1"/>
  <c r="S16"/>
  <c r="T4"/>
  <c r="H54"/>
  <c r="H58" s="1"/>
  <c r="H23"/>
  <c r="H37" i="3"/>
  <c r="D17"/>
  <c r="D54" i="1" s="1"/>
  <c r="D58" s="1"/>
  <c r="E71"/>
  <c r="H40"/>
  <c r="I12" i="3"/>
  <c r="Q7" i="1"/>
  <c r="R6"/>
  <c r="R36"/>
  <c r="L28" i="3"/>
  <c r="K29"/>
  <c r="K30" s="1"/>
  <c r="K31" s="1"/>
  <c r="K29" i="1" s="1"/>
  <c r="G65"/>
  <c r="G67"/>
  <c r="G80" s="1"/>
  <c r="P15"/>
  <c r="P17" s="1"/>
  <c r="P11"/>
  <c r="P13" s="1"/>
  <c r="O19"/>
  <c r="O30"/>
  <c r="E43" l="1"/>
  <c r="G37"/>
  <c r="F32"/>
  <c r="F33" s="1"/>
  <c r="F43" s="1"/>
  <c r="F42"/>
  <c r="P19"/>
  <c r="P30"/>
  <c r="M21" i="3"/>
  <c r="L22"/>
  <c r="S6" i="1"/>
  <c r="R7"/>
  <c r="O41"/>
  <c r="O61"/>
  <c r="O35" i="3"/>
  <c r="O46" i="1"/>
  <c r="O62"/>
  <c r="L29" i="3"/>
  <c r="M28"/>
  <c r="K20" i="1"/>
  <c r="K21" s="1"/>
  <c r="U4"/>
  <c r="T16"/>
  <c r="G71"/>
  <c r="G68"/>
  <c r="G81" s="1"/>
  <c r="S36"/>
  <c r="I17" i="3"/>
  <c r="H64" i="1"/>
  <c r="D23"/>
  <c r="T25" i="5"/>
  <c r="W25" s="1"/>
  <c r="S25"/>
  <c r="U25" s="1"/>
  <c r="X25" s="1"/>
  <c r="R26"/>
  <c r="X35" i="1"/>
  <c r="Q15"/>
  <c r="Q17" s="1"/>
  <c r="Q11"/>
  <c r="Q13" s="1"/>
  <c r="H38" i="3"/>
  <c r="D37"/>
  <c r="D38" s="1"/>
  <c r="D39" s="1"/>
  <c r="K36"/>
  <c r="K25" i="1"/>
  <c r="K38" s="1"/>
  <c r="K23" i="3"/>
  <c r="K24" s="1"/>
  <c r="Q27" i="5"/>
  <c r="G70" i="1"/>
  <c r="L36" i="3" l="1"/>
  <c r="L25" i="1"/>
  <c r="L38" s="1"/>
  <c r="L23" i="3"/>
  <c r="L24" s="1"/>
  <c r="S26" i="5"/>
  <c r="U26" s="1"/>
  <c r="X26" s="1"/>
  <c r="I9" i="3" s="1"/>
  <c r="T26" i="5"/>
  <c r="W26" s="1"/>
  <c r="I6" i="3" s="1"/>
  <c r="R27" i="5"/>
  <c r="H44" i="3"/>
  <c r="H39"/>
  <c r="S7" i="1"/>
  <c r="T6"/>
  <c r="D24"/>
  <c r="D26" s="1"/>
  <c r="D37" s="1"/>
  <c r="H65"/>
  <c r="H67"/>
  <c r="H80" s="1"/>
  <c r="M29" i="3"/>
  <c r="N28"/>
  <c r="R15" i="1"/>
  <c r="R17" s="1"/>
  <c r="R11"/>
  <c r="R13" s="1"/>
  <c r="I23"/>
  <c r="I54"/>
  <c r="L20"/>
  <c r="L21" s="1"/>
  <c r="L30" i="3"/>
  <c r="L31" s="1"/>
  <c r="L29" i="1" s="1"/>
  <c r="D64"/>
  <c r="G42"/>
  <c r="G32"/>
  <c r="G33" s="1"/>
  <c r="Q19"/>
  <c r="Q30"/>
  <c r="V4"/>
  <c r="U16"/>
  <c r="T36"/>
  <c r="N21" i="3"/>
  <c r="M22"/>
  <c r="P62" i="1"/>
  <c r="P61"/>
  <c r="P41"/>
  <c r="P35" i="3"/>
  <c r="P46" i="1"/>
  <c r="Q28" i="5"/>
  <c r="W4" i="1" l="1"/>
  <c r="V16"/>
  <c r="D67"/>
  <c r="D80" s="1"/>
  <c r="H84" s="1"/>
  <c r="D65"/>
  <c r="D42"/>
  <c r="D32"/>
  <c r="D33" s="1"/>
  <c r="H24"/>
  <c r="H26" s="1"/>
  <c r="H37" s="1"/>
  <c r="H70"/>
  <c r="S15"/>
  <c r="S17" s="1"/>
  <c r="S11"/>
  <c r="S13" s="1"/>
  <c r="M25"/>
  <c r="M38" s="1"/>
  <c r="M36" i="3"/>
  <c r="M23"/>
  <c r="M24" s="1"/>
  <c r="S27" i="5"/>
  <c r="U27" s="1"/>
  <c r="X27" s="1"/>
  <c r="T27"/>
  <c r="W27" s="1"/>
  <c r="R28"/>
  <c r="Q29" s="1"/>
  <c r="G43" i="1"/>
  <c r="H45" i="3"/>
  <c r="H40" s="1"/>
  <c r="H41" s="1"/>
  <c r="H47" i="1" s="1"/>
  <c r="H52" s="1"/>
  <c r="D44" i="3"/>
  <c r="I22" i="1"/>
  <c r="I37" i="3"/>
  <c r="I38" s="1"/>
  <c r="N29"/>
  <c r="O28"/>
  <c r="T7" i="1"/>
  <c r="U6"/>
  <c r="Q35" i="3"/>
  <c r="Q62" i="1"/>
  <c r="Q46"/>
  <c r="Q41"/>
  <c r="Q61"/>
  <c r="R19"/>
  <c r="R30"/>
  <c r="N22" i="3"/>
  <c r="O21"/>
  <c r="M20" i="1"/>
  <c r="M21" s="1"/>
  <c r="M30" i="3"/>
  <c r="M31" s="1"/>
  <c r="M29" i="1" s="1"/>
  <c r="I51"/>
  <c r="I7" i="3"/>
  <c r="I13"/>
  <c r="U36" i="1"/>
  <c r="H68"/>
  <c r="H81" s="1"/>
  <c r="D70" l="1"/>
  <c r="H71"/>
  <c r="Q30" i="5"/>
  <c r="R41" i="1"/>
  <c r="R61"/>
  <c r="R46"/>
  <c r="R35" i="3"/>
  <c r="R62" i="1"/>
  <c r="I44" i="3"/>
  <c r="I45" s="1"/>
  <c r="I40" s="1"/>
  <c r="I39"/>
  <c r="I73" i="1"/>
  <c r="I76" s="1"/>
  <c r="I74"/>
  <c r="I77" s="1"/>
  <c r="H87"/>
  <c r="I55"/>
  <c r="I15" i="3"/>
  <c r="D68" i="1"/>
  <c r="D81" s="1"/>
  <c r="H85" s="1"/>
  <c r="V36"/>
  <c r="O22" i="3"/>
  <c r="P21"/>
  <c r="O29"/>
  <c r="P28"/>
  <c r="S30" i="1"/>
  <c r="S19"/>
  <c r="V6"/>
  <c r="U7"/>
  <c r="I50"/>
  <c r="I64"/>
  <c r="X4"/>
  <c r="W16"/>
  <c r="N36" i="3"/>
  <c r="N25" i="1"/>
  <c r="N38" s="1"/>
  <c r="N23" i="3"/>
  <c r="N24" s="1"/>
  <c r="H42" i="1"/>
  <c r="H32"/>
  <c r="H33" s="1"/>
  <c r="J5" i="3"/>
  <c r="I39" i="1"/>
  <c r="S28" i="5"/>
  <c r="U28" s="1"/>
  <c r="X28" s="1"/>
  <c r="T28"/>
  <c r="W28" s="1"/>
  <c r="R29"/>
  <c r="N20" i="1"/>
  <c r="N21" s="1"/>
  <c r="N30" i="3"/>
  <c r="N31" s="1"/>
  <c r="N29" i="1" s="1"/>
  <c r="T15"/>
  <c r="T17" s="1"/>
  <c r="T11"/>
  <c r="T13" s="1"/>
  <c r="D45" i="3"/>
  <c r="D40" s="1"/>
  <c r="D41" s="1"/>
  <c r="D47" i="1" s="1"/>
  <c r="D52" s="1"/>
  <c r="D43"/>
  <c r="R74" l="1"/>
  <c r="X16"/>
  <c r="Y4"/>
  <c r="O25"/>
  <c r="O38" s="1"/>
  <c r="O36" i="3"/>
  <c r="O23"/>
  <c r="O24" s="1"/>
  <c r="P22" s="1"/>
  <c r="I24" i="1"/>
  <c r="I26" s="1"/>
  <c r="I41" i="3"/>
  <c r="I47" i="1" s="1"/>
  <c r="I52" s="1"/>
  <c r="H43"/>
  <c r="I65"/>
  <c r="I67"/>
  <c r="I80" s="1"/>
  <c r="I84" s="1"/>
  <c r="T30"/>
  <c r="T19"/>
  <c r="U15"/>
  <c r="U17" s="1"/>
  <c r="U11"/>
  <c r="U13" s="1"/>
  <c r="H88"/>
  <c r="J12" i="3"/>
  <c r="I40" i="1"/>
  <c r="D71"/>
  <c r="P29" i="3"/>
  <c r="Q28"/>
  <c r="S62" i="1"/>
  <c r="S46"/>
  <c r="S61"/>
  <c r="S41"/>
  <c r="S35" i="3"/>
  <c r="V7" i="1"/>
  <c r="W6"/>
  <c r="R73"/>
  <c r="T29" i="5"/>
  <c r="W29" s="1"/>
  <c r="S29"/>
  <c r="U29" s="1"/>
  <c r="X29" s="1"/>
  <c r="R30"/>
  <c r="O20" i="1"/>
  <c r="O21" s="1"/>
  <c r="O30" i="3"/>
  <c r="O31" s="1"/>
  <c r="O29" i="1" s="1"/>
  <c r="W36"/>
  <c r="D47" i="3"/>
  <c r="E43" s="1"/>
  <c r="E47" s="1"/>
  <c r="F43" s="1"/>
  <c r="F47" s="1"/>
  <c r="G43" s="1"/>
  <c r="G47" s="1"/>
  <c r="H43" s="1"/>
  <c r="H47" s="1"/>
  <c r="I43" s="1"/>
  <c r="I47" s="1"/>
  <c r="J43" s="1"/>
  <c r="T30" i="5" l="1"/>
  <c r="W30" s="1"/>
  <c r="S30"/>
  <c r="U30" s="1"/>
  <c r="X30" s="1"/>
  <c r="R31"/>
  <c r="P25" i="1"/>
  <c r="P38" s="1"/>
  <c r="P36" i="3"/>
  <c r="P23"/>
  <c r="P24" s="1"/>
  <c r="P20" i="1"/>
  <c r="P21" s="1"/>
  <c r="P30" i="3"/>
  <c r="P31" s="1"/>
  <c r="P29" i="1" s="1"/>
  <c r="Q29" i="3"/>
  <c r="R28"/>
  <c r="U30" i="1"/>
  <c r="U19"/>
  <c r="X36"/>
  <c r="S74"/>
  <c r="I68"/>
  <c r="I81" s="1"/>
  <c r="I85" s="1"/>
  <c r="T61"/>
  <c r="T35" i="3"/>
  <c r="T41" i="1"/>
  <c r="T46"/>
  <c r="T62"/>
  <c r="J17" i="3"/>
  <c r="I87" i="1"/>
  <c r="Z4"/>
  <c r="Y16"/>
  <c r="V15"/>
  <c r="V17" s="1"/>
  <c r="V11"/>
  <c r="V13" s="1"/>
  <c r="I56"/>
  <c r="W7"/>
  <c r="X6"/>
  <c r="S73"/>
  <c r="Q31" i="5"/>
  <c r="I70" i="1"/>
  <c r="I71" l="1"/>
  <c r="T74"/>
  <c r="U61"/>
  <c r="U41"/>
  <c r="U46"/>
  <c r="U62"/>
  <c r="U35" i="3"/>
  <c r="I88" i="1"/>
  <c r="I58"/>
  <c r="I57"/>
  <c r="W15"/>
  <c r="W17" s="1"/>
  <c r="W11"/>
  <c r="W13" s="1"/>
  <c r="I37"/>
  <c r="Y6"/>
  <c r="X7"/>
  <c r="J23"/>
  <c r="J54"/>
  <c r="Q25"/>
  <c r="Q38" s="1"/>
  <c r="Q20"/>
  <c r="Q21" s="1"/>
  <c r="Q30" i="3"/>
  <c r="Q31" s="1"/>
  <c r="Q29" i="1" s="1"/>
  <c r="Z16"/>
  <c r="AA4"/>
  <c r="Y36"/>
  <c r="Z36" s="1"/>
  <c r="AA36" s="1"/>
  <c r="AB36" s="1"/>
  <c r="S31" i="5"/>
  <c r="U31" s="1"/>
  <c r="X31" s="1"/>
  <c r="R32"/>
  <c r="T31"/>
  <c r="W31" s="1"/>
  <c r="T73" i="1"/>
  <c r="V19"/>
  <c r="V30"/>
  <c r="R29" i="3"/>
  <c r="S28"/>
  <c r="Q32" i="5"/>
  <c r="Q33" s="1"/>
  <c r="AA16" i="1" l="1"/>
  <c r="AB4"/>
  <c r="AB16" s="1"/>
  <c r="U73"/>
  <c r="W19"/>
  <c r="W30"/>
  <c r="V46"/>
  <c r="V61"/>
  <c r="V35" i="3"/>
  <c r="V62" i="1"/>
  <c r="V41"/>
  <c r="T28" i="3"/>
  <c r="S29"/>
  <c r="Z6" i="1"/>
  <c r="Y7"/>
  <c r="U74"/>
  <c r="I42"/>
  <c r="I32"/>
  <c r="I33" s="1"/>
  <c r="R20"/>
  <c r="R21" s="1"/>
  <c r="R25"/>
  <c r="R38" s="1"/>
  <c r="R30" i="3"/>
  <c r="R31" s="1"/>
  <c r="R29" i="1" s="1"/>
  <c r="R33" i="5"/>
  <c r="S32"/>
  <c r="U32" s="1"/>
  <c r="X32" s="1"/>
  <c r="T32"/>
  <c r="W32" s="1"/>
  <c r="X15" i="1"/>
  <c r="X17" s="1"/>
  <c r="X11"/>
  <c r="X13" s="1"/>
  <c r="R34" i="5" l="1"/>
  <c r="S33"/>
  <c r="U33" s="1"/>
  <c r="X33" s="1"/>
  <c r="T33"/>
  <c r="W33" s="1"/>
  <c r="W62" i="1"/>
  <c r="W61"/>
  <c r="W41"/>
  <c r="W35" i="3"/>
  <c r="W46" i="1"/>
  <c r="S25"/>
  <c r="S38" s="1"/>
  <c r="S20"/>
  <c r="S21" s="1"/>
  <c r="S30" i="3"/>
  <c r="S31" s="1"/>
  <c r="S29" i="1" s="1"/>
  <c r="Y15"/>
  <c r="Y17" s="1"/>
  <c r="Y11"/>
  <c r="Y13" s="1"/>
  <c r="V73"/>
  <c r="AA6"/>
  <c r="Z7"/>
  <c r="I43"/>
  <c r="T29" i="3"/>
  <c r="U28"/>
  <c r="X19" i="1"/>
  <c r="X30"/>
  <c r="V74"/>
  <c r="Q34" i="5"/>
  <c r="Q35" s="1"/>
  <c r="S34" l="1"/>
  <c r="U34" s="1"/>
  <c r="X34" s="1"/>
  <c r="T34"/>
  <c r="W34" s="1"/>
  <c r="R35"/>
  <c r="Z15" i="1"/>
  <c r="Z17" s="1"/>
  <c r="Z11"/>
  <c r="Z13" s="1"/>
  <c r="W73"/>
  <c r="Q36" i="5"/>
  <c r="V28" i="3"/>
  <c r="U29"/>
  <c r="X61" i="1"/>
  <c r="X41"/>
  <c r="X62"/>
  <c r="X35" i="3"/>
  <c r="X46" i="1"/>
  <c r="T20"/>
  <c r="T21" s="1"/>
  <c r="T25"/>
  <c r="T38" s="1"/>
  <c r="T30" i="3"/>
  <c r="T31" s="1"/>
  <c r="T29" i="1" s="1"/>
  <c r="AA7"/>
  <c r="AB6"/>
  <c r="AB7" s="1"/>
  <c r="W74"/>
  <c r="Y19"/>
  <c r="Y30"/>
  <c r="X74" l="1"/>
  <c r="AB15"/>
  <c r="AB17" s="1"/>
  <c r="AB11"/>
  <c r="AB13" s="1"/>
  <c r="Z19"/>
  <c r="Z30"/>
  <c r="Y61"/>
  <c r="Y62"/>
  <c r="Y46"/>
  <c r="Y35" i="3"/>
  <c r="Y41" i="1"/>
  <c r="U20"/>
  <c r="U21" s="1"/>
  <c r="U25"/>
  <c r="U38" s="1"/>
  <c r="U30" i="3"/>
  <c r="U31" s="1"/>
  <c r="U29" i="1" s="1"/>
  <c r="AA15"/>
  <c r="AA17" s="1"/>
  <c r="AA11"/>
  <c r="AA13" s="1"/>
  <c r="S35" i="5"/>
  <c r="U35" s="1"/>
  <c r="X35" s="1"/>
  <c r="T35"/>
  <c r="W35" s="1"/>
  <c r="R36"/>
  <c r="Q37" s="1"/>
  <c r="W28" i="3"/>
  <c r="V29"/>
  <c r="X73" i="1"/>
  <c r="Q38" i="5" l="1"/>
  <c r="X28" i="3"/>
  <c r="W29"/>
  <c r="Y74" i="1"/>
  <c r="V20"/>
  <c r="V21" s="1"/>
  <c r="V25"/>
  <c r="V38" s="1"/>
  <c r="V30" i="3"/>
  <c r="V31" s="1"/>
  <c r="V29" i="1" s="1"/>
  <c r="Z41"/>
  <c r="Z61"/>
  <c r="Z62"/>
  <c r="Z35" i="3"/>
  <c r="Z46" i="1"/>
  <c r="Y73"/>
  <c r="AB19"/>
  <c r="AB30"/>
  <c r="AA30"/>
  <c r="AA19"/>
  <c r="R37" i="5"/>
  <c r="T36"/>
  <c r="W36" s="1"/>
  <c r="S36"/>
  <c r="U36" s="1"/>
  <c r="X36" s="1"/>
  <c r="AA41" i="1" l="1"/>
  <c r="AA62"/>
  <c r="AA35" i="3"/>
  <c r="AA61" i="1"/>
  <c r="AA46"/>
  <c r="W20"/>
  <c r="W21" s="1"/>
  <c r="W25"/>
  <c r="W38" s="1"/>
  <c r="W30" i="3"/>
  <c r="W31" s="1"/>
  <c r="W29" i="1" s="1"/>
  <c r="Z73"/>
  <c r="Z74"/>
  <c r="X29" i="3"/>
  <c r="Y28"/>
  <c r="S37" i="5"/>
  <c r="U37" s="1"/>
  <c r="X37" s="1"/>
  <c r="R38"/>
  <c r="T37"/>
  <c r="W37" s="1"/>
  <c r="AB62" i="1"/>
  <c r="AB35" i="3"/>
  <c r="AB41" i="1"/>
  <c r="AB46"/>
  <c r="AB61"/>
  <c r="AB73" l="1"/>
  <c r="AA74"/>
  <c r="S38" i="5"/>
  <c r="U38" s="1"/>
  <c r="X38" s="1"/>
  <c r="J9" i="3" s="1"/>
  <c r="T38" i="5"/>
  <c r="W38" s="1"/>
  <c r="J6" i="3" s="1"/>
  <c r="R39" i="5"/>
  <c r="X20" i="1"/>
  <c r="X21" s="1"/>
  <c r="X25"/>
  <c r="X38" s="1"/>
  <c r="X30" i="3"/>
  <c r="X31" s="1"/>
  <c r="X29" i="1" s="1"/>
  <c r="Z28" i="3"/>
  <c r="Y29"/>
  <c r="AA73" i="1"/>
  <c r="AB74"/>
  <c r="Q39" i="5"/>
  <c r="S39" l="1"/>
  <c r="U39" s="1"/>
  <c r="X39" s="1"/>
  <c r="T39"/>
  <c r="W39" s="1"/>
  <c r="R40"/>
  <c r="AA28" i="3"/>
  <c r="Z29"/>
  <c r="Y20" i="1"/>
  <c r="Y21" s="1"/>
  <c r="Y25"/>
  <c r="Y38" s="1"/>
  <c r="Y30" i="3"/>
  <c r="Y31" s="1"/>
  <c r="Y29" i="1" s="1"/>
  <c r="Q40" i="5"/>
  <c r="J51" i="1"/>
  <c r="J7" i="3"/>
  <c r="J13"/>
  <c r="J22" i="1"/>
  <c r="J37" i="3"/>
  <c r="J38" s="1"/>
  <c r="J74" i="1" l="1"/>
  <c r="J77" s="1"/>
  <c r="J73"/>
  <c r="J76" s="1"/>
  <c r="Z25"/>
  <c r="Z38" s="1"/>
  <c r="Z20"/>
  <c r="Z21" s="1"/>
  <c r="Z30" i="3"/>
  <c r="Z31" s="1"/>
  <c r="Z29" i="1" s="1"/>
  <c r="J50"/>
  <c r="J64"/>
  <c r="J39" i="3"/>
  <c r="J44"/>
  <c r="AB28"/>
  <c r="AA29"/>
  <c r="K5"/>
  <c r="J39" i="1"/>
  <c r="Q41" i="5"/>
  <c r="Q42" s="1"/>
  <c r="T40"/>
  <c r="W40" s="1"/>
  <c r="R41"/>
  <c r="S40"/>
  <c r="U40" s="1"/>
  <c r="X40" s="1"/>
  <c r="J55" i="1"/>
  <c r="J15" i="3"/>
  <c r="AA20" i="1" l="1"/>
  <c r="AA21" s="1"/>
  <c r="AA25"/>
  <c r="AA38" s="1"/>
  <c r="AA30" i="3"/>
  <c r="AA31" s="1"/>
  <c r="J45"/>
  <c r="J40" s="1"/>
  <c r="J41" s="1"/>
  <c r="J47" i="1" s="1"/>
  <c r="J52" s="1"/>
  <c r="J40"/>
  <c r="K12" i="3"/>
  <c r="J67" i="1"/>
  <c r="J80" s="1"/>
  <c r="J84" s="1"/>
  <c r="J65"/>
  <c r="J24"/>
  <c r="J26" s="1"/>
  <c r="T41" i="5"/>
  <c r="W41" s="1"/>
  <c r="S41"/>
  <c r="U41" s="1"/>
  <c r="X41" s="1"/>
  <c r="R42"/>
  <c r="J56" i="1" l="1"/>
  <c r="J57" s="1"/>
  <c r="S42" i="5"/>
  <c r="U42" s="1"/>
  <c r="X42" s="1"/>
  <c r="T42"/>
  <c r="W42" s="1"/>
  <c r="R43"/>
  <c r="J87" i="1"/>
  <c r="J47" i="3"/>
  <c r="K43" s="1"/>
  <c r="AA29" i="1"/>
  <c r="AB29" i="3"/>
  <c r="J70" i="1"/>
  <c r="Q43" i="5"/>
  <c r="Q44" s="1"/>
  <c r="K17" i="3"/>
  <c r="J71" i="1"/>
  <c r="J68"/>
  <c r="J81" s="1"/>
  <c r="J85" s="1"/>
  <c r="J58" l="1"/>
  <c r="K23"/>
  <c r="K54"/>
  <c r="S43" i="5"/>
  <c r="U43" s="1"/>
  <c r="X43" s="1"/>
  <c r="R44"/>
  <c r="T43"/>
  <c r="W43" s="1"/>
  <c r="AB20" i="1"/>
  <c r="AB21" s="1"/>
  <c r="AB25"/>
  <c r="AB38" s="1"/>
  <c r="AB30" i="3"/>
  <c r="AB31" s="1"/>
  <c r="AB29" i="1" s="1"/>
  <c r="J88"/>
  <c r="Q45" i="5"/>
  <c r="J37" i="1"/>
  <c r="J42" l="1"/>
  <c r="J32"/>
  <c r="J33" s="1"/>
  <c r="J43" s="1"/>
  <c r="S44" i="5"/>
  <c r="U44" s="1"/>
  <c r="X44" s="1"/>
  <c r="R45"/>
  <c r="T44"/>
  <c r="W44" s="1"/>
  <c r="T45" l="1"/>
  <c r="W45" s="1"/>
  <c r="S45"/>
  <c r="U45" s="1"/>
  <c r="X45" s="1"/>
  <c r="R46"/>
  <c r="Q46"/>
  <c r="T46" l="1"/>
  <c r="W46" s="1"/>
  <c r="R47"/>
  <c r="S46"/>
  <c r="U46" s="1"/>
  <c r="X46" s="1"/>
  <c r="Q47"/>
  <c r="S47" l="1"/>
  <c r="U47" s="1"/>
  <c r="X47" s="1"/>
  <c r="R48"/>
  <c r="T47"/>
  <c r="W47" s="1"/>
  <c r="Q48"/>
  <c r="S48" l="1"/>
  <c r="U48" s="1"/>
  <c r="X48" s="1"/>
  <c r="R49"/>
  <c r="T48"/>
  <c r="W48" s="1"/>
  <c r="Q49"/>
  <c r="S49" l="1"/>
  <c r="U49" s="1"/>
  <c r="X49" s="1"/>
  <c r="T49"/>
  <c r="W49" s="1"/>
  <c r="R50"/>
  <c r="Q50"/>
  <c r="S50" l="1"/>
  <c r="U50" s="1"/>
  <c r="X50" s="1"/>
  <c r="K9" i="3" s="1"/>
  <c r="T50" i="5"/>
  <c r="W50" s="1"/>
  <c r="K6" i="3" s="1"/>
  <c r="R51" i="5"/>
  <c r="Q51"/>
  <c r="K22" i="1" l="1"/>
  <c r="K37" i="3"/>
  <c r="K38" s="1"/>
  <c r="S51" i="5"/>
  <c r="U51" s="1"/>
  <c r="X51" s="1"/>
  <c r="T51"/>
  <c r="W51" s="1"/>
  <c r="R52"/>
  <c r="K51" i="1"/>
  <c r="K7" i="3"/>
  <c r="K13"/>
  <c r="Q52" i="5"/>
  <c r="Q53" s="1"/>
  <c r="K50" i="1" l="1"/>
  <c r="K64"/>
  <c r="K74"/>
  <c r="K77" s="1"/>
  <c r="K73"/>
  <c r="K76" s="1"/>
  <c r="K44" i="3"/>
  <c r="K39"/>
  <c r="T52" i="5"/>
  <c r="W52" s="1"/>
  <c r="R53"/>
  <c r="S52"/>
  <c r="U52" s="1"/>
  <c r="X52" s="1"/>
  <c r="L5" i="3"/>
  <c r="K39" i="1"/>
  <c r="K55"/>
  <c r="K15" i="3"/>
  <c r="K40" i="1" l="1"/>
  <c r="L12" i="3"/>
  <c r="K67" i="1"/>
  <c r="K80" s="1"/>
  <c r="K84" s="1"/>
  <c r="K65"/>
  <c r="K45" i="3"/>
  <c r="K40" s="1"/>
  <c r="S53" i="5"/>
  <c r="U53" s="1"/>
  <c r="X53" s="1"/>
  <c r="T53"/>
  <c r="W53" s="1"/>
  <c r="R54"/>
  <c r="K24" i="1"/>
  <c r="K26" s="1"/>
  <c r="K41" i="3"/>
  <c r="K47" i="1" s="1"/>
  <c r="K52" s="1"/>
  <c r="Q54" i="5"/>
  <c r="K47" i="3" l="1"/>
  <c r="L43" s="1"/>
  <c r="K68" i="1"/>
  <c r="K81" s="1"/>
  <c r="K85" s="1"/>
  <c r="K88" s="1"/>
  <c r="K87"/>
  <c r="K70"/>
  <c r="T54" i="5"/>
  <c r="W54" s="1"/>
  <c r="R55"/>
  <c r="S54"/>
  <c r="U54" s="1"/>
  <c r="X54" s="1"/>
  <c r="L17" i="3"/>
  <c r="K56" i="1"/>
  <c r="K57" s="1"/>
  <c r="Q55" i="5"/>
  <c r="Q56" s="1"/>
  <c r="K37" i="1" l="1"/>
  <c r="K42" s="1"/>
  <c r="Q57" i="5"/>
  <c r="S55"/>
  <c r="U55" s="1"/>
  <c r="X55" s="1"/>
  <c r="R56"/>
  <c r="T55"/>
  <c r="W55" s="1"/>
  <c r="L23" i="1"/>
  <c r="L54"/>
  <c r="K71"/>
  <c r="K58"/>
  <c r="K32" l="1"/>
  <c r="K33" s="1"/>
  <c r="K43" s="1"/>
  <c r="Q58" i="5"/>
  <c r="T56"/>
  <c r="W56" s="1"/>
  <c r="R57"/>
  <c r="S56"/>
  <c r="U56" s="1"/>
  <c r="X56" s="1"/>
  <c r="T57" l="1"/>
  <c r="W57" s="1"/>
  <c r="S57"/>
  <c r="U57" s="1"/>
  <c r="X57" s="1"/>
  <c r="R58"/>
  <c r="S58" l="1"/>
  <c r="U58" s="1"/>
  <c r="X58" s="1"/>
  <c r="T58"/>
  <c r="W58" s="1"/>
  <c r="R59"/>
  <c r="Q59"/>
  <c r="S59" l="1"/>
  <c r="U59" s="1"/>
  <c r="X59" s="1"/>
  <c r="T59"/>
  <c r="W59" s="1"/>
  <c r="R60"/>
  <c r="Q60"/>
  <c r="S60" l="1"/>
  <c r="U60" s="1"/>
  <c r="X60" s="1"/>
  <c r="R61"/>
  <c r="T60"/>
  <c r="W60" s="1"/>
  <c r="Q61"/>
  <c r="T61" l="1"/>
  <c r="W61" s="1"/>
  <c r="R62"/>
  <c r="S61"/>
  <c r="U61" s="1"/>
  <c r="X61" s="1"/>
  <c r="Q62"/>
  <c r="T62" l="1"/>
  <c r="W62" s="1"/>
  <c r="L6" i="3" s="1"/>
  <c r="R63" i="5"/>
  <c r="S62"/>
  <c r="U62" s="1"/>
  <c r="X62" s="1"/>
  <c r="L9" i="3" s="1"/>
  <c r="Q63" i="5"/>
  <c r="L51" i="1" l="1"/>
  <c r="L7" i="3"/>
  <c r="L13"/>
  <c r="S63" i="5"/>
  <c r="U63" s="1"/>
  <c r="X63" s="1"/>
  <c r="R64"/>
  <c r="T63"/>
  <c r="W63" s="1"/>
  <c r="L22" i="1"/>
  <c r="L37" i="3"/>
  <c r="L38" s="1"/>
  <c r="Q64" i="5"/>
  <c r="Q65" s="1"/>
  <c r="M5" i="3" l="1"/>
  <c r="L39" i="1"/>
  <c r="L55"/>
  <c r="L15" i="3"/>
  <c r="S64" i="5"/>
  <c r="U64" s="1"/>
  <c r="X64" s="1"/>
  <c r="T64"/>
  <c r="W64" s="1"/>
  <c r="R65"/>
  <c r="L50" i="1"/>
  <c r="L64"/>
  <c r="L74"/>
  <c r="L77" s="1"/>
  <c r="L73"/>
  <c r="L76" s="1"/>
  <c r="L39" i="3"/>
  <c r="L44"/>
  <c r="L67" i="1" l="1"/>
  <c r="L80" s="1"/>
  <c r="L84" s="1"/>
  <c r="L87" s="1"/>
  <c r="L65"/>
  <c r="L24"/>
  <c r="L26" s="1"/>
  <c r="S65" i="5"/>
  <c r="U65" s="1"/>
  <c r="X65" s="1"/>
  <c r="T65"/>
  <c r="W65" s="1"/>
  <c r="R66"/>
  <c r="M12" i="3"/>
  <c r="L40" i="1"/>
  <c r="L45" i="3"/>
  <c r="L40" s="1"/>
  <c r="L41" s="1"/>
  <c r="L47" i="1" s="1"/>
  <c r="L52" s="1"/>
  <c r="Q66" i="5"/>
  <c r="Q67" s="1"/>
  <c r="L56" i="1" l="1"/>
  <c r="L37" s="1"/>
  <c r="L68"/>
  <c r="L81" s="1"/>
  <c r="L85" s="1"/>
  <c r="L88" s="1"/>
  <c r="M17" i="3"/>
  <c r="L70" i="1"/>
  <c r="L47" i="3"/>
  <c r="T66" i="5"/>
  <c r="W66" s="1"/>
  <c r="S66"/>
  <c r="U66" s="1"/>
  <c r="X66" s="1"/>
  <c r="R67"/>
  <c r="L57" i="1" l="1"/>
  <c r="L58" s="1"/>
  <c r="L71"/>
  <c r="L42"/>
  <c r="L32"/>
  <c r="L33" s="1"/>
  <c r="L43" s="1"/>
  <c r="M54"/>
  <c r="M23"/>
  <c r="L46" i="3"/>
  <c r="M43"/>
  <c r="S67" i="5"/>
  <c r="U67" s="1"/>
  <c r="X67" s="1"/>
  <c r="R68"/>
  <c r="T67"/>
  <c r="W67" s="1"/>
  <c r="Q68"/>
  <c r="S68" l="1"/>
  <c r="U68" s="1"/>
  <c r="X68" s="1"/>
  <c r="R69"/>
  <c r="T68"/>
  <c r="W68" s="1"/>
  <c r="Q69"/>
  <c r="R70" l="1"/>
  <c r="S69"/>
  <c r="U69" s="1"/>
  <c r="X69" s="1"/>
  <c r="T69"/>
  <c r="W69" s="1"/>
  <c r="Q70"/>
  <c r="S70" l="1"/>
  <c r="U70" s="1"/>
  <c r="X70" s="1"/>
  <c r="T70"/>
  <c r="W70" s="1"/>
  <c r="R71"/>
  <c r="Q71"/>
  <c r="S71" l="1"/>
  <c r="U71" s="1"/>
  <c r="X71" s="1"/>
  <c r="T71"/>
  <c r="W71" s="1"/>
  <c r="R72"/>
  <c r="Q72"/>
  <c r="S72" l="1"/>
  <c r="U72" s="1"/>
  <c r="X72" s="1"/>
  <c r="T72"/>
  <c r="W72" s="1"/>
  <c r="R73"/>
  <c r="Q73"/>
  <c r="T73" l="1"/>
  <c r="W73" s="1"/>
  <c r="R74"/>
  <c r="S73"/>
  <c r="U73" s="1"/>
  <c r="X73" s="1"/>
  <c r="Q74"/>
  <c r="S74" l="1"/>
  <c r="U74" s="1"/>
  <c r="X74" s="1"/>
  <c r="M9" i="3" s="1"/>
  <c r="R75" i="5"/>
  <c r="T74"/>
  <c r="W74" s="1"/>
  <c r="M6" i="3" s="1"/>
  <c r="Q75" i="5"/>
  <c r="M22" i="1" l="1"/>
  <c r="M37" i="3"/>
  <c r="M38" s="1"/>
  <c r="S75" i="5"/>
  <c r="U75" s="1"/>
  <c r="X75" s="1"/>
  <c r="T75"/>
  <c r="W75" s="1"/>
  <c r="R76"/>
  <c r="M51" i="1"/>
  <c r="M7" i="3"/>
  <c r="M13"/>
  <c r="Q76" i="5"/>
  <c r="Q77" s="1"/>
  <c r="M39" i="3" l="1"/>
  <c r="M44"/>
  <c r="T76" i="5"/>
  <c r="W76" s="1"/>
  <c r="R77"/>
  <c r="S76"/>
  <c r="U76" s="1"/>
  <c r="X76" s="1"/>
  <c r="M73" i="1"/>
  <c r="M76" s="1"/>
  <c r="M74"/>
  <c r="M77" s="1"/>
  <c r="N5" i="3"/>
  <c r="M39" i="1"/>
  <c r="Q78" i="5"/>
  <c r="M50" i="1"/>
  <c r="M64"/>
  <c r="M55"/>
  <c r="M15" i="3"/>
  <c r="M45" l="1"/>
  <c r="M40" s="1"/>
  <c r="M41" s="1"/>
  <c r="M47" i="1" s="1"/>
  <c r="M52" s="1"/>
  <c r="S77" i="5"/>
  <c r="U77" s="1"/>
  <c r="X77" s="1"/>
  <c r="T77"/>
  <c r="W77" s="1"/>
  <c r="R78"/>
  <c r="M67" i="1"/>
  <c r="M80" s="1"/>
  <c r="M84" s="1"/>
  <c r="M87" s="1"/>
  <c r="M65"/>
  <c r="Q79" i="5"/>
  <c r="M40" i="1"/>
  <c r="N12" i="3"/>
  <c r="M24" i="1"/>
  <c r="M26" s="1"/>
  <c r="M70" l="1"/>
  <c r="M56"/>
  <c r="N17" i="3"/>
  <c r="S78" i="5"/>
  <c r="U78" s="1"/>
  <c r="X78" s="1"/>
  <c r="T78"/>
  <c r="W78" s="1"/>
  <c r="R79"/>
  <c r="Q80" s="1"/>
  <c r="M71" i="1"/>
  <c r="M68"/>
  <c r="M81" s="1"/>
  <c r="M85" s="1"/>
  <c r="M88" s="1"/>
  <c r="M47" i="3"/>
  <c r="Q81" i="5" l="1"/>
  <c r="M37" i="1"/>
  <c r="S79" i="5"/>
  <c r="U79" s="1"/>
  <c r="X79" s="1"/>
  <c r="T79"/>
  <c r="W79" s="1"/>
  <c r="R80"/>
  <c r="N43" i="3"/>
  <c r="M46"/>
  <c r="N54" i="1"/>
  <c r="N23"/>
  <c r="M57"/>
  <c r="M58" s="1"/>
  <c r="S80" i="5" l="1"/>
  <c r="U80" s="1"/>
  <c r="X80" s="1"/>
  <c r="T80"/>
  <c r="W80" s="1"/>
  <c r="R81"/>
  <c r="M32" i="1"/>
  <c r="M33" s="1"/>
  <c r="M42"/>
  <c r="S81" i="5" l="1"/>
  <c r="U81" s="1"/>
  <c r="X81" s="1"/>
  <c r="T81"/>
  <c r="W81" s="1"/>
  <c r="R82"/>
  <c r="Q82"/>
  <c r="M43" i="1"/>
  <c r="T82" i="5" l="1"/>
  <c r="W82" s="1"/>
  <c r="R83"/>
  <c r="S82"/>
  <c r="U82" s="1"/>
  <c r="X82" s="1"/>
  <c r="Q83"/>
  <c r="S83" l="1"/>
  <c r="U83" s="1"/>
  <c r="X83" s="1"/>
  <c r="R84"/>
  <c r="T83"/>
  <c r="W83" s="1"/>
  <c r="Q84"/>
  <c r="T84" l="1"/>
  <c r="W84" s="1"/>
  <c r="S84"/>
  <c r="U84" s="1"/>
  <c r="X84" s="1"/>
  <c r="R85"/>
  <c r="Q85"/>
  <c r="T85" l="1"/>
  <c r="W85" s="1"/>
  <c r="S85"/>
  <c r="U85" s="1"/>
  <c r="X85" s="1"/>
  <c r="R86"/>
  <c r="Q86"/>
  <c r="S86" l="1"/>
  <c r="U86" s="1"/>
  <c r="X86" s="1"/>
  <c r="N9" i="3" s="1"/>
  <c r="T86" i="5"/>
  <c r="W86" s="1"/>
  <c r="N6" i="3" s="1"/>
  <c r="R87" i="5"/>
  <c r="Q87"/>
  <c r="N22" i="1" l="1"/>
  <c r="N37" i="3"/>
  <c r="N38" s="1"/>
  <c r="N51" i="1"/>
  <c r="N7" i="3"/>
  <c r="N13"/>
  <c r="S87" i="5"/>
  <c r="U87" s="1"/>
  <c r="X87" s="1"/>
  <c r="R88"/>
  <c r="T87"/>
  <c r="W87" s="1"/>
  <c r="Q88"/>
  <c r="Q89" s="1"/>
  <c r="N55" i="1" l="1"/>
  <c r="N58" s="1"/>
  <c r="N15" i="3"/>
  <c r="N39"/>
  <c r="N44"/>
  <c r="S88" i="5"/>
  <c r="U88" s="1"/>
  <c r="X88" s="1"/>
  <c r="T88"/>
  <c r="W88" s="1"/>
  <c r="R89"/>
  <c r="N50" i="1"/>
  <c r="N64"/>
  <c r="N74"/>
  <c r="N77" s="1"/>
  <c r="N73"/>
  <c r="N76" s="1"/>
  <c r="O5" i="3"/>
  <c r="N39" i="1"/>
  <c r="Q90" i="5"/>
  <c r="N24" i="1" l="1"/>
  <c r="N26" s="1"/>
  <c r="N37" s="1"/>
  <c r="N41" i="3"/>
  <c r="N47" i="1" s="1"/>
  <c r="N52" s="1"/>
  <c r="N67"/>
  <c r="N80" s="1"/>
  <c r="N84" s="1"/>
  <c r="N87" s="1"/>
  <c r="N65"/>
  <c r="N45" i="3"/>
  <c r="N40" s="1"/>
  <c r="T89" i="5"/>
  <c r="W89" s="1"/>
  <c r="S89"/>
  <c r="U89" s="1"/>
  <c r="X89" s="1"/>
  <c r="R90"/>
  <c r="O12" i="3"/>
  <c r="N40" i="1"/>
  <c r="N71" l="1"/>
  <c r="N68"/>
  <c r="N81" s="1"/>
  <c r="N85" s="1"/>
  <c r="N88" s="1"/>
  <c r="N32"/>
  <c r="N33" s="1"/>
  <c r="N43" s="1"/>
  <c r="N42"/>
  <c r="T90" i="5"/>
  <c r="W90" s="1"/>
  <c r="S90"/>
  <c r="U90" s="1"/>
  <c r="X90" s="1"/>
  <c r="R91"/>
  <c r="O17" i="3"/>
  <c r="N70" i="1"/>
  <c r="Q91" i="5"/>
  <c r="Q92" s="1"/>
  <c r="N47" i="3"/>
  <c r="O23" i="1" l="1"/>
  <c r="O54"/>
  <c r="O43" i="3"/>
  <c r="N46"/>
  <c r="S91" i="5"/>
  <c r="U91" s="1"/>
  <c r="X91" s="1"/>
  <c r="T91"/>
  <c r="W91" s="1"/>
  <c r="R92"/>
  <c r="Q93" s="1"/>
  <c r="Q94" l="1"/>
  <c r="S92"/>
  <c r="U92" s="1"/>
  <c r="X92" s="1"/>
  <c r="R93"/>
  <c r="T92"/>
  <c r="W92" s="1"/>
  <c r="Q95" l="1"/>
  <c r="T93"/>
  <c r="W93" s="1"/>
  <c r="S93"/>
  <c r="U93" s="1"/>
  <c r="X93" s="1"/>
  <c r="R94"/>
  <c r="T94" l="1"/>
  <c r="W94" s="1"/>
  <c r="S94"/>
  <c r="U94" s="1"/>
  <c r="X94" s="1"/>
  <c r="R95"/>
  <c r="S95" l="1"/>
  <c r="U95" s="1"/>
  <c r="X95" s="1"/>
  <c r="R96"/>
  <c r="T95"/>
  <c r="W95" s="1"/>
  <c r="Q96"/>
  <c r="S96" l="1"/>
  <c r="U96" s="1"/>
  <c r="X96" s="1"/>
  <c r="T96"/>
  <c r="W96" s="1"/>
  <c r="R97"/>
  <c r="Q97"/>
  <c r="R98" l="1"/>
  <c r="T97"/>
  <c r="W97" s="1"/>
  <c r="S97"/>
  <c r="U97" s="1"/>
  <c r="X97" s="1"/>
  <c r="Q98"/>
  <c r="T98" l="1"/>
  <c r="W98" s="1"/>
  <c r="O6" i="3" s="1"/>
  <c r="S98" i="5"/>
  <c r="U98" s="1"/>
  <c r="X98" s="1"/>
  <c r="O9" i="3" s="1"/>
  <c r="R99" i="5"/>
  <c r="Q99"/>
  <c r="O51" i="1" l="1"/>
  <c r="O7" i="3"/>
  <c r="O13"/>
  <c r="O22" i="1"/>
  <c r="O37" i="3"/>
  <c r="O38" s="1"/>
  <c r="S99" i="5"/>
  <c r="U99" s="1"/>
  <c r="X99" s="1"/>
  <c r="T99"/>
  <c r="W99" s="1"/>
  <c r="R100"/>
  <c r="Q100"/>
  <c r="Q101" s="1"/>
  <c r="O55" i="1" l="1"/>
  <c r="O58" s="1"/>
  <c r="O15" i="3"/>
  <c r="O39"/>
  <c r="O44"/>
  <c r="O50" i="1"/>
  <c r="O64"/>
  <c r="O73"/>
  <c r="O76" s="1"/>
  <c r="O74"/>
  <c r="O77" s="1"/>
  <c r="P5" i="3"/>
  <c r="O39" i="1"/>
  <c r="S100" i="5"/>
  <c r="U100" s="1"/>
  <c r="X100" s="1"/>
  <c r="T100"/>
  <c r="W100" s="1"/>
  <c r="R101"/>
  <c r="O45" i="3" l="1"/>
  <c r="O40" s="1"/>
  <c r="O41" s="1"/>
  <c r="O47" i="1" s="1"/>
  <c r="O52" s="1"/>
  <c r="P12" i="3"/>
  <c r="O40" i="1"/>
  <c r="S101" i="5"/>
  <c r="U101" s="1"/>
  <c r="X101" s="1"/>
  <c r="T101"/>
  <c r="W101" s="1"/>
  <c r="R102"/>
  <c r="O24" i="1"/>
  <c r="O26" s="1"/>
  <c r="O37" s="1"/>
  <c r="O67"/>
  <c r="O80" s="1"/>
  <c r="O84" s="1"/>
  <c r="O87" s="1"/>
  <c r="O65"/>
  <c r="Q102" i="5"/>
  <c r="Q103" s="1"/>
  <c r="Q104" l="1"/>
  <c r="O71" i="1"/>
  <c r="O68"/>
  <c r="O81" s="1"/>
  <c r="O85" s="1"/>
  <c r="O88" s="1"/>
  <c r="O70"/>
  <c r="O32"/>
  <c r="O33" s="1"/>
  <c r="O43" s="1"/>
  <c r="O42"/>
  <c r="P17" i="3"/>
  <c r="S102" i="5"/>
  <c r="U102" s="1"/>
  <c r="X102" s="1"/>
  <c r="R103"/>
  <c r="T102"/>
  <c r="W102" s="1"/>
  <c r="O47" i="3"/>
  <c r="P23" i="1" l="1"/>
  <c r="P54"/>
  <c r="S103" i="5"/>
  <c r="U103" s="1"/>
  <c r="X103" s="1"/>
  <c r="T103"/>
  <c r="W103" s="1"/>
  <c r="R104"/>
  <c r="O46" i="3"/>
  <c r="P43"/>
  <c r="Q105" i="5"/>
  <c r="T104" l="1"/>
  <c r="W104" s="1"/>
  <c r="R105"/>
  <c r="S104"/>
  <c r="U104" s="1"/>
  <c r="X104" s="1"/>
  <c r="T105" l="1"/>
  <c r="W105" s="1"/>
  <c r="R106"/>
  <c r="S105"/>
  <c r="U105" s="1"/>
  <c r="X105" s="1"/>
  <c r="Q106"/>
  <c r="S106" l="1"/>
  <c r="U106" s="1"/>
  <c r="X106" s="1"/>
  <c r="T106"/>
  <c r="W106" s="1"/>
  <c r="R107"/>
  <c r="Q107"/>
  <c r="S107" l="1"/>
  <c r="U107" s="1"/>
  <c r="X107" s="1"/>
  <c r="T107"/>
  <c r="W107" s="1"/>
  <c r="R108"/>
  <c r="Q108"/>
  <c r="T108" l="1"/>
  <c r="W108" s="1"/>
  <c r="S108"/>
  <c r="U108" s="1"/>
  <c r="X108" s="1"/>
  <c r="R109"/>
  <c r="Q109"/>
  <c r="T109" l="1"/>
  <c r="W109" s="1"/>
  <c r="R110"/>
  <c r="S109"/>
  <c r="U109" s="1"/>
  <c r="X109" s="1"/>
  <c r="Q110"/>
  <c r="S110" l="1"/>
  <c r="U110" s="1"/>
  <c r="X110" s="1"/>
  <c r="P9" i="3" s="1"/>
  <c r="T110" i="5"/>
  <c r="W110" s="1"/>
  <c r="P6" i="3" s="1"/>
  <c r="R111" i="5"/>
  <c r="Q111"/>
  <c r="P22" i="1" l="1"/>
  <c r="P37" i="3"/>
  <c r="P38" s="1"/>
  <c r="S111" i="5"/>
  <c r="U111" s="1"/>
  <c r="X111" s="1"/>
  <c r="T111"/>
  <c r="W111" s="1"/>
  <c r="R112"/>
  <c r="P51" i="1"/>
  <c r="P7" i="3"/>
  <c r="P13"/>
  <c r="Q112" i="5"/>
  <c r="Q113" s="1"/>
  <c r="S112" l="1"/>
  <c r="U112" s="1"/>
  <c r="X112" s="1"/>
  <c r="T112"/>
  <c r="W112" s="1"/>
  <c r="R113"/>
  <c r="P50" i="1"/>
  <c r="P64"/>
  <c r="P74"/>
  <c r="P77" s="1"/>
  <c r="P73"/>
  <c r="P76" s="1"/>
  <c r="Q5" i="3"/>
  <c r="P39" i="1"/>
  <c r="P44" i="3"/>
  <c r="P39"/>
  <c r="P55" i="1"/>
  <c r="P58" s="1"/>
  <c r="P15" i="3"/>
  <c r="P45" l="1"/>
  <c r="P40" s="1"/>
  <c r="P41" s="1"/>
  <c r="P47" i="1" s="1"/>
  <c r="P52" s="1"/>
  <c r="P24"/>
  <c r="P26" s="1"/>
  <c r="P37" s="1"/>
  <c r="P67"/>
  <c r="P80" s="1"/>
  <c r="P84" s="1"/>
  <c r="P87" s="1"/>
  <c r="P65"/>
  <c r="Q12" i="3"/>
  <c r="P40" i="1"/>
  <c r="S113" i="5"/>
  <c r="U113" s="1"/>
  <c r="X113" s="1"/>
  <c r="T113"/>
  <c r="W113" s="1"/>
  <c r="R114"/>
  <c r="Q114"/>
  <c r="Q17" i="3" l="1"/>
  <c r="S114" i="5"/>
  <c r="U114" s="1"/>
  <c r="X114" s="1"/>
  <c r="R115"/>
  <c r="T114"/>
  <c r="W114" s="1"/>
  <c r="P68" i="1"/>
  <c r="P81" s="1"/>
  <c r="P85" s="1"/>
  <c r="P88" s="1"/>
  <c r="Q115" i="5"/>
  <c r="Q116" s="1"/>
  <c r="P32" i="1"/>
  <c r="P33" s="1"/>
  <c r="P43" s="1"/>
  <c r="P42"/>
  <c r="P47" i="3"/>
  <c r="Q43" s="1"/>
  <c r="P70" i="1"/>
  <c r="S115" i="5" l="1"/>
  <c r="U115" s="1"/>
  <c r="X115" s="1"/>
  <c r="T115"/>
  <c r="W115" s="1"/>
  <c r="R116"/>
  <c r="Q117" s="1"/>
  <c r="Q23" i="1"/>
  <c r="Q54"/>
  <c r="P71"/>
  <c r="Q118" i="5" l="1"/>
  <c r="T116"/>
  <c r="W116" s="1"/>
  <c r="S116"/>
  <c r="U116" s="1"/>
  <c r="X116" s="1"/>
  <c r="R117"/>
  <c r="T117" l="1"/>
  <c r="W117" s="1"/>
  <c r="S117"/>
  <c r="U117" s="1"/>
  <c r="X117" s="1"/>
  <c r="R118"/>
  <c r="T118" l="1"/>
  <c r="W118" s="1"/>
  <c r="S118"/>
  <c r="U118" s="1"/>
  <c r="X118" s="1"/>
  <c r="R119"/>
  <c r="Q119"/>
  <c r="S119" l="1"/>
  <c r="U119" s="1"/>
  <c r="X119" s="1"/>
  <c r="R120"/>
  <c r="T119"/>
  <c r="W119" s="1"/>
  <c r="Q120"/>
  <c r="S120" l="1"/>
  <c r="U120" s="1"/>
  <c r="X120" s="1"/>
  <c r="T120"/>
  <c r="W120" s="1"/>
  <c r="R121"/>
  <c r="Q121"/>
  <c r="T121" l="1"/>
  <c r="W121" s="1"/>
  <c r="S121"/>
  <c r="U121" s="1"/>
  <c r="X121" s="1"/>
  <c r="Q122"/>
  <c r="R122" s="1"/>
  <c r="T122" s="1"/>
  <c r="W122" s="1"/>
  <c r="S122"/>
  <c r="U122" s="1"/>
  <c r="X122" s="1"/>
  <c r="Q6" i="3" l="1"/>
  <c r="Q9"/>
  <c r="Q51" i="1" l="1"/>
  <c r="Q7" i="3"/>
  <c r="Q13"/>
  <c r="Q22" i="1"/>
  <c r="Q37" i="3"/>
  <c r="Q38" s="1"/>
  <c r="Q55" i="1" l="1"/>
  <c r="Q58" s="1"/>
  <c r="Q15" i="3"/>
  <c r="Q74" i="1"/>
  <c r="Q77" s="1"/>
  <c r="R77" s="1"/>
  <c r="S77" s="1"/>
  <c r="T77" s="1"/>
  <c r="U77" s="1"/>
  <c r="V77" s="1"/>
  <c r="W77" s="1"/>
  <c r="X77" s="1"/>
  <c r="Y77" s="1"/>
  <c r="Z77" s="1"/>
  <c r="AA77" s="1"/>
  <c r="AB77" s="1"/>
  <c r="Q73"/>
  <c r="Q76" s="1"/>
  <c r="R76" s="1"/>
  <c r="S76" s="1"/>
  <c r="T76" s="1"/>
  <c r="U76" s="1"/>
  <c r="V76" s="1"/>
  <c r="W76" s="1"/>
  <c r="X76" s="1"/>
  <c r="Y76" s="1"/>
  <c r="Z76" s="1"/>
  <c r="AA76" s="1"/>
  <c r="AB76" s="1"/>
  <c r="R5" i="3"/>
  <c r="Q39" i="1"/>
  <c r="Q50"/>
  <c r="Q64"/>
  <c r="Q39" i="3"/>
  <c r="Q44"/>
  <c r="Q47" l="1"/>
  <c r="R43" s="1"/>
  <c r="Q67" i="1"/>
  <c r="Q80" s="1"/>
  <c r="Q84" s="1"/>
  <c r="Q87" s="1"/>
  <c r="Q65"/>
  <c r="R12" i="3"/>
  <c r="Q40" i="1"/>
  <c r="Q24"/>
  <c r="Q26" s="1"/>
  <c r="Q37" s="1"/>
  <c r="Q45" i="3"/>
  <c r="Q40" s="1"/>
  <c r="Q41" s="1"/>
  <c r="Q47" i="1" s="1"/>
  <c r="Q52" s="1"/>
  <c r="R7" i="3"/>
  <c r="R9"/>
  <c r="R22" i="1" l="1"/>
  <c r="Q32"/>
  <c r="Q33" s="1"/>
  <c r="Q43" s="1"/>
  <c r="Q42"/>
  <c r="S5" i="3"/>
  <c r="R39" i="1"/>
  <c r="Q68"/>
  <c r="Q81" s="1"/>
  <c r="Q85" s="1"/>
  <c r="Q88" s="1"/>
  <c r="R17" i="3"/>
  <c r="R13"/>
  <c r="R55" i="1" s="1"/>
  <c r="Q70"/>
  <c r="Q71" l="1"/>
  <c r="R50"/>
  <c r="R64"/>
  <c r="R23"/>
  <c r="R54"/>
  <c r="S9" i="3"/>
  <c r="S7"/>
  <c r="R37"/>
  <c r="R38" s="1"/>
  <c r="R15"/>
  <c r="T5" l="1"/>
  <c r="S39" i="1"/>
  <c r="S12" i="3"/>
  <c r="R40" i="1"/>
  <c r="R65"/>
  <c r="R67"/>
  <c r="R80" s="1"/>
  <c r="R84" s="1"/>
  <c r="R87" s="1"/>
  <c r="S22"/>
  <c r="R44" i="3"/>
  <c r="R39"/>
  <c r="S50" i="1" l="1"/>
  <c r="T7" i="3"/>
  <c r="T9"/>
  <c r="R41"/>
  <c r="R47" i="1" s="1"/>
  <c r="R52" s="1"/>
  <c r="R24"/>
  <c r="R26" s="1"/>
  <c r="R45" i="3"/>
  <c r="R40" s="1"/>
  <c r="S13"/>
  <c r="S55" i="1" s="1"/>
  <c r="S17" i="3"/>
  <c r="R68" i="1"/>
  <c r="R81" s="1"/>
  <c r="R85" s="1"/>
  <c r="R88" s="1"/>
  <c r="R47" i="3"/>
  <c r="S43" s="1"/>
  <c r="R70" i="1"/>
  <c r="T22" l="1"/>
  <c r="R71"/>
  <c r="R56"/>
  <c r="R57" s="1"/>
  <c r="S23"/>
  <c r="S54"/>
  <c r="S37" i="3"/>
  <c r="S38" s="1"/>
  <c r="U5"/>
  <c r="T39" i="1"/>
  <c r="S15" i="3"/>
  <c r="R37" i="1" l="1"/>
  <c r="R32" s="1"/>
  <c r="R33" s="1"/>
  <c r="T50"/>
  <c r="T12" i="3"/>
  <c r="S40" i="1"/>
  <c r="U9" i="3"/>
  <c r="U7"/>
  <c r="S64" i="1"/>
  <c r="S39" i="3"/>
  <c r="S44"/>
  <c r="R58" i="1"/>
  <c r="R43" l="1"/>
  <c r="R42"/>
  <c r="V5" i="3"/>
  <c r="U39" i="1"/>
  <c r="S45" i="3"/>
  <c r="S40" s="1"/>
  <c r="S41" s="1"/>
  <c r="S47" i="1" s="1"/>
  <c r="S52" s="1"/>
  <c r="S24"/>
  <c r="S26" s="1"/>
  <c r="U22"/>
  <c r="T17" i="3"/>
  <c r="T13"/>
  <c r="T55" i="1" s="1"/>
  <c r="S67"/>
  <c r="S80" s="1"/>
  <c r="S84" s="1"/>
  <c r="S87" s="1"/>
  <c r="S65"/>
  <c r="S56" l="1"/>
  <c r="S57" s="1"/>
  <c r="V7" i="3"/>
  <c r="V9"/>
  <c r="S47"/>
  <c r="T43" s="1"/>
  <c r="S71" i="1"/>
  <c r="S68"/>
  <c r="S81" s="1"/>
  <c r="S85" s="1"/>
  <c r="S88" s="1"/>
  <c r="U50"/>
  <c r="T23"/>
  <c r="T54"/>
  <c r="T37" i="3"/>
  <c r="T38" s="1"/>
  <c r="T15"/>
  <c r="S70" i="1"/>
  <c r="T64" l="1"/>
  <c r="W5" i="3"/>
  <c r="V39" i="1"/>
  <c r="V22"/>
  <c r="T44" i="3"/>
  <c r="T39"/>
  <c r="U12"/>
  <c r="T40" i="1"/>
  <c r="S58"/>
  <c r="S37"/>
  <c r="U17" i="3" l="1"/>
  <c r="U13"/>
  <c r="U55" i="1" s="1"/>
  <c r="T67"/>
  <c r="T80" s="1"/>
  <c r="T84" s="1"/>
  <c r="T87" s="1"/>
  <c r="T65"/>
  <c r="S32"/>
  <c r="S33" s="1"/>
  <c r="S42"/>
  <c r="T45" i="3"/>
  <c r="T24" i="1"/>
  <c r="T26" s="1"/>
  <c r="W9" i="3"/>
  <c r="W7"/>
  <c r="V50" i="1"/>
  <c r="U15" i="3" l="1"/>
  <c r="V12" s="1"/>
  <c r="T40"/>
  <c r="T41" s="1"/>
  <c r="T47" i="1" s="1"/>
  <c r="T52" s="1"/>
  <c r="T47" i="3"/>
  <c r="U43" s="1"/>
  <c r="U23" i="1"/>
  <c r="U54"/>
  <c r="U37" i="3"/>
  <c r="U38" s="1"/>
  <c r="W22" i="1"/>
  <c r="T70"/>
  <c r="X5" i="3"/>
  <c r="W39" i="1"/>
  <c r="T71"/>
  <c r="T68"/>
  <c r="T81" s="1"/>
  <c r="T85" s="1"/>
  <c r="T88" s="1"/>
  <c r="S43"/>
  <c r="U40" l="1"/>
  <c r="V17" i="3"/>
  <c r="V13"/>
  <c r="V55" i="1" s="1"/>
  <c r="W50"/>
  <c r="T56"/>
  <c r="T57" s="1"/>
  <c r="U64"/>
  <c r="X7" i="3"/>
  <c r="X9"/>
  <c r="U44"/>
  <c r="U39"/>
  <c r="V23" i="1" l="1"/>
  <c r="V54"/>
  <c r="V37" i="3"/>
  <c r="V38" s="1"/>
  <c r="Y5"/>
  <c r="X39" i="1"/>
  <c r="V15" i="3"/>
  <c r="U70" i="1"/>
  <c r="U67"/>
  <c r="U80" s="1"/>
  <c r="U84" s="1"/>
  <c r="U87" s="1"/>
  <c r="U65"/>
  <c r="X22"/>
  <c r="U24"/>
  <c r="U26" s="1"/>
  <c r="U45" i="3"/>
  <c r="T58" i="1"/>
  <c r="T37"/>
  <c r="U68" l="1"/>
  <c r="U81" s="1"/>
  <c r="U85" s="1"/>
  <c r="U88" s="1"/>
  <c r="V39" i="3"/>
  <c r="V44"/>
  <c r="Y9"/>
  <c r="Y7"/>
  <c r="W12"/>
  <c r="V40" i="1"/>
  <c r="T32"/>
  <c r="T33" s="1"/>
  <c r="T43" s="1"/>
  <c r="T42"/>
  <c r="V64"/>
  <c r="X50"/>
  <c r="U40" i="3"/>
  <c r="U41" s="1"/>
  <c r="U47" i="1" s="1"/>
  <c r="U52" s="1"/>
  <c r="U47" i="3"/>
  <c r="V43" s="1"/>
  <c r="U71" i="1" l="1"/>
  <c r="V41" i="3"/>
  <c r="V47" i="1" s="1"/>
  <c r="V52" s="1"/>
  <c r="V24"/>
  <c r="V26" s="1"/>
  <c r="V45" i="3"/>
  <c r="V40" s="1"/>
  <c r="V67" i="1"/>
  <c r="V80" s="1"/>
  <c r="V84" s="1"/>
  <c r="V87" s="1"/>
  <c r="V65"/>
  <c r="U56"/>
  <c r="U57" s="1"/>
  <c r="Y22"/>
  <c r="W17" i="3"/>
  <c r="W13"/>
  <c r="W55" i="1" s="1"/>
  <c r="Y39"/>
  <c r="Z5" i="3"/>
  <c r="Y50" i="1" l="1"/>
  <c r="W23"/>
  <c r="W54"/>
  <c r="W37" i="3"/>
  <c r="W38" s="1"/>
  <c r="V68" i="1"/>
  <c r="V81" s="1"/>
  <c r="V85" s="1"/>
  <c r="V88" s="1"/>
  <c r="W15" i="3"/>
  <c r="V70" i="1"/>
  <c r="V47" i="3"/>
  <c r="W43" s="1"/>
  <c r="Z7"/>
  <c r="Z9"/>
  <c r="U58" i="1"/>
  <c r="U37"/>
  <c r="V56" s="1"/>
  <c r="V57" l="1"/>
  <c r="V58" s="1"/>
  <c r="X12" i="3"/>
  <c r="W40" i="1"/>
  <c r="W64"/>
  <c r="W44" i="3"/>
  <c r="W39"/>
  <c r="V37" i="1"/>
  <c r="U32"/>
  <c r="U33" s="1"/>
  <c r="U43" s="1"/>
  <c r="U42"/>
  <c r="AA5" i="3"/>
  <c r="Z39" i="1"/>
  <c r="Z22"/>
  <c r="V71"/>
  <c r="W47" i="3" l="1"/>
  <c r="X43" s="1"/>
  <c r="AA7"/>
  <c r="AA9"/>
  <c r="V42" i="1"/>
  <c r="V32"/>
  <c r="V33" s="1"/>
  <c r="W67"/>
  <c r="W80" s="1"/>
  <c r="W84" s="1"/>
  <c r="W87" s="1"/>
  <c r="W65"/>
  <c r="X17" i="3"/>
  <c r="X13"/>
  <c r="X55" i="1" s="1"/>
  <c r="Z50"/>
  <c r="W24"/>
  <c r="W26" s="1"/>
  <c r="W45" i="3"/>
  <c r="W40" s="1"/>
  <c r="W41" s="1"/>
  <c r="W47" i="1" s="1"/>
  <c r="W52" s="1"/>
  <c r="V43" l="1"/>
  <c r="W56"/>
  <c r="W57" s="1"/>
  <c r="W71"/>
  <c r="W68"/>
  <c r="W81" s="1"/>
  <c r="W85" s="1"/>
  <c r="W88" s="1"/>
  <c r="X23"/>
  <c r="X54"/>
  <c r="X37" i="3"/>
  <c r="X38" s="1"/>
  <c r="AB5"/>
  <c r="AA39" i="1"/>
  <c r="AA22"/>
  <c r="X15" i="3"/>
  <c r="W70" i="1"/>
  <c r="X39" i="3" l="1"/>
  <c r="X44"/>
  <c r="AB9"/>
  <c r="AB7"/>
  <c r="AB39" i="1" s="1"/>
  <c r="AA50"/>
  <c r="W37"/>
  <c r="Y12" i="3"/>
  <c r="X40" i="1"/>
  <c r="X64"/>
  <c r="W58"/>
  <c r="Y13" i="3" l="1"/>
  <c r="Y55" i="1" s="1"/>
  <c r="Y17" i="3"/>
  <c r="AB22" i="1"/>
  <c r="X41" i="3"/>
  <c r="X47" i="1" s="1"/>
  <c r="X52" s="1"/>
  <c r="X45" i="3"/>
  <c r="X40" s="1"/>
  <c r="X24" i="1"/>
  <c r="X26" s="1"/>
  <c r="X67"/>
  <c r="X80" s="1"/>
  <c r="X84" s="1"/>
  <c r="X87" s="1"/>
  <c r="X65"/>
  <c r="W42"/>
  <c r="W32"/>
  <c r="W33" s="1"/>
  <c r="X47" i="3"/>
  <c r="Y43" s="1"/>
  <c r="X68" i="1" l="1"/>
  <c r="X81" s="1"/>
  <c r="X85" s="1"/>
  <c r="X88" s="1"/>
  <c r="Y23"/>
  <c r="Y54"/>
  <c r="Y37" i="3"/>
  <c r="Y38" s="1"/>
  <c r="X56" i="1"/>
  <c r="X57" s="1"/>
  <c r="AB50"/>
  <c r="Y15" i="3"/>
  <c r="X70" i="1"/>
  <c r="W43"/>
  <c r="Z12" i="3" l="1"/>
  <c r="Y40" i="1"/>
  <c r="Y64"/>
  <c r="Y44" i="3"/>
  <c r="Y39"/>
  <c r="X58" i="1"/>
  <c r="X37"/>
  <c r="X71"/>
  <c r="Z17" i="3" l="1"/>
  <c r="Z13"/>
  <c r="Z55" i="1" s="1"/>
  <c r="Y45" i="3"/>
  <c r="Y40" s="1"/>
  <c r="Y41" s="1"/>
  <c r="Y47" i="1" s="1"/>
  <c r="Y52" s="1"/>
  <c r="Y24"/>
  <c r="Y26" s="1"/>
  <c r="X42"/>
  <c r="X32"/>
  <c r="X33" s="1"/>
  <c r="Y67"/>
  <c r="Y80" s="1"/>
  <c r="Y84" s="1"/>
  <c r="Y87" s="1"/>
  <c r="Y65"/>
  <c r="Y47" i="3"/>
  <c r="Z43" s="1"/>
  <c r="X43" i="1" l="1"/>
  <c r="Y56"/>
  <c r="Y37" s="1"/>
  <c r="Y71"/>
  <c r="Y68"/>
  <c r="Y81" s="1"/>
  <c r="Y85" s="1"/>
  <c r="Y88" s="1"/>
  <c r="Z15" i="3"/>
  <c r="Y70" i="1"/>
  <c r="Z23"/>
  <c r="Z54"/>
  <c r="Z37" i="3"/>
  <c r="Z38" s="1"/>
  <c r="Z64" i="1" l="1"/>
  <c r="Y35"/>
  <c r="Z39" i="3"/>
  <c r="Z44"/>
  <c r="AA12"/>
  <c r="Z40" i="1"/>
  <c r="Z41" i="3" l="1"/>
  <c r="Z47" i="1" s="1"/>
  <c r="Z52" s="1"/>
  <c r="Z45" i="3"/>
  <c r="Z40" s="1"/>
  <c r="Z24" i="1"/>
  <c r="Z26" s="1"/>
  <c r="Z67"/>
  <c r="Z80" s="1"/>
  <c r="Z84" s="1"/>
  <c r="Z87" s="1"/>
  <c r="Z65"/>
  <c r="Y32"/>
  <c r="Y33" s="1"/>
  <c r="Y42"/>
  <c r="Y57"/>
  <c r="Y58" s="1"/>
  <c r="AA13" i="3"/>
  <c r="AA55" i="1" s="1"/>
  <c r="AA17" i="3"/>
  <c r="Z37" i="1" l="1"/>
  <c r="Z57"/>
  <c r="Z35" s="1"/>
  <c r="Z56"/>
  <c r="Z71"/>
  <c r="Z68"/>
  <c r="Z81" s="1"/>
  <c r="Z85" s="1"/>
  <c r="Z88" s="1"/>
  <c r="AA15" i="3"/>
  <c r="Y43" i="1"/>
  <c r="AA54"/>
  <c r="AA23"/>
  <c r="AA37" i="3"/>
  <c r="AA38" s="1"/>
  <c r="Z47"/>
  <c r="AA43" s="1"/>
  <c r="Z70" i="1"/>
  <c r="Z58" l="1"/>
  <c r="AA64"/>
  <c r="AA39" i="3"/>
  <c r="AA44"/>
  <c r="Z32" i="1"/>
  <c r="Z33" s="1"/>
  <c r="Z42"/>
  <c r="AB12" i="3"/>
  <c r="AA40" i="1"/>
  <c r="AB17" i="3" l="1"/>
  <c r="AB13"/>
  <c r="AB55" i="1" s="1"/>
  <c r="AA67"/>
  <c r="AA80" s="1"/>
  <c r="AA84" s="1"/>
  <c r="AA87" s="1"/>
  <c r="AA65"/>
  <c r="AA24"/>
  <c r="AA26" s="1"/>
  <c r="AA45" i="3"/>
  <c r="Z43" i="1"/>
  <c r="AA71" l="1"/>
  <c r="AA68"/>
  <c r="AA81" s="1"/>
  <c r="AA85" s="1"/>
  <c r="AA88" s="1"/>
  <c r="AA40" i="3"/>
  <c r="AA41" s="1"/>
  <c r="AA47" i="1" s="1"/>
  <c r="AA52" s="1"/>
  <c r="AA47" i="3"/>
  <c r="AB43" s="1"/>
  <c r="AB54" i="1"/>
  <c r="AB23"/>
  <c r="AB37" i="3"/>
  <c r="AB38" s="1"/>
  <c r="AB15"/>
  <c r="AB40" i="1" s="1"/>
  <c r="AA70"/>
  <c r="AA56" l="1"/>
  <c r="AB39" i="3"/>
  <c r="AB44"/>
  <c r="AB64" i="1"/>
  <c r="AB47" i="3" l="1"/>
  <c r="AA58" i="1"/>
  <c r="AA37"/>
  <c r="AA57"/>
  <c r="AA35" s="1"/>
  <c r="AB24"/>
  <c r="AB26" s="1"/>
  <c r="AB45" i="3"/>
  <c r="AB40" s="1"/>
  <c r="AB41" s="1"/>
  <c r="AB47" i="1" s="1"/>
  <c r="AB52" s="1"/>
  <c r="AB67"/>
  <c r="AB80" s="1"/>
  <c r="AB84" s="1"/>
  <c r="AB87" s="1"/>
  <c r="AB70"/>
  <c r="AB65"/>
  <c r="AB56" l="1"/>
  <c r="AB68"/>
  <c r="AB81" s="1"/>
  <c r="AB85" s="1"/>
  <c r="AB88" s="1"/>
  <c r="AA42"/>
  <c r="AA32"/>
  <c r="AA33" s="1"/>
  <c r="AB58" l="1"/>
  <c r="AB57"/>
  <c r="AB35" s="1"/>
  <c r="AB37"/>
  <c r="AB71"/>
  <c r="AA43"/>
  <c r="AB42" l="1"/>
  <c r="AB32"/>
  <c r="AB33" s="1"/>
  <c r="AB43" l="1"/>
</calcChain>
</file>

<file path=xl/comments1.xml><?xml version="1.0" encoding="utf-8"?>
<comments xmlns="http://schemas.openxmlformats.org/spreadsheetml/2006/main">
  <authors>
    <author>Vasilina Valatkaite</author>
  </authors>
  <commentList>
    <comment ref="A54" authorId="0">
      <text>
        <r>
          <rPr>
            <b/>
            <sz val="9"/>
            <color indexed="81"/>
            <rFont val="Tahoma"/>
            <family val="2"/>
            <charset val="186"/>
          </rPr>
          <t>Vasilina Valatkaite:</t>
        </r>
        <r>
          <rPr>
            <sz val="9"/>
            <color indexed="81"/>
            <rFont val="Tahoma"/>
            <family val="2"/>
            <charset val="186"/>
          </rPr>
          <t xml:space="preserve">
topo nuotraukos, statybos leidimai, lizingo sutarčių mokesčiai</t>
        </r>
      </text>
    </comment>
  </commentList>
</comments>
</file>

<file path=xl/sharedStrings.xml><?xml version="1.0" encoding="utf-8"?>
<sst xmlns="http://schemas.openxmlformats.org/spreadsheetml/2006/main" count="233" uniqueCount="179">
  <si>
    <t>EPK</t>
  </si>
  <si>
    <t>2010 EUR / MWh</t>
  </si>
  <si>
    <t>EUR/MWh</t>
  </si>
  <si>
    <t>2010 EUR/MWh</t>
  </si>
  <si>
    <t>%</t>
  </si>
  <si>
    <t>Load factor</t>
  </si>
  <si>
    <t>MW</t>
  </si>
  <si>
    <t>ERU</t>
  </si>
  <si>
    <t>ERU/MWh</t>
  </si>
  <si>
    <t>EUR/ERU</t>
  </si>
  <si>
    <t>Enercon</t>
  </si>
  <si>
    <t>EBIT</t>
  </si>
  <si>
    <t>EBITDA</t>
  </si>
  <si>
    <t>Grąžinimas</t>
  </si>
  <si>
    <t>2011Q1</t>
  </si>
  <si>
    <t>2011Q2</t>
  </si>
  <si>
    <t>2011Q3</t>
  </si>
  <si>
    <t>2011Q4</t>
  </si>
  <si>
    <t>EBITDA (with CO2)</t>
  </si>
  <si>
    <t>EBITDA (without CO2)</t>
  </si>
  <si>
    <t>Profit before TAX (with CO2)</t>
  </si>
  <si>
    <t>Profit before TAX (without CO2)</t>
  </si>
  <si>
    <t>Taxes (with CO2)</t>
  </si>
  <si>
    <t>Taxes (without CO2)</t>
  </si>
  <si>
    <t>Profit after TAX (with CO2)</t>
  </si>
  <si>
    <t>Profit after TAX (without CO2)</t>
  </si>
  <si>
    <t>Cash flow (with CO2)</t>
  </si>
  <si>
    <t>Cash flow (without CO2)</t>
  </si>
  <si>
    <t>Cumulative (with CO2)</t>
  </si>
  <si>
    <t>Cumulative (without CO2)</t>
  </si>
  <si>
    <t>PROJECT IRR (with CO2), %</t>
  </si>
  <si>
    <t>PROJECT IRR (without CO2), %</t>
  </si>
  <si>
    <t>LT087748</t>
  </si>
  <si>
    <t>Likutis</t>
  </si>
  <si>
    <t>Palūkanos</t>
  </si>
  <si>
    <t>LT087749</t>
  </si>
  <si>
    <t>LT087750</t>
  </si>
  <si>
    <t>Nauja</t>
  </si>
  <si>
    <t>Viso</t>
  </si>
  <si>
    <t>2011-2015</t>
  </si>
  <si>
    <t>2016-2030</t>
  </si>
  <si>
    <t>Sensitivity analysis</t>
  </si>
  <si>
    <t>Investments, ths. LTL</t>
  </si>
  <si>
    <t>Project IRR (including ERUs income)</t>
  </si>
  <si>
    <t>Energy production variation range</t>
  </si>
  <si>
    <t>Energy output, MWh/year</t>
  </si>
  <si>
    <t>ERUs price variation range</t>
  </si>
  <si>
    <t>ERUs price, Euro</t>
  </si>
  <si>
    <t>Bendrų investicijų dydis</t>
  </si>
  <si>
    <t>Annual electricity output</t>
  </si>
  <si>
    <t>Energijos gamyba</t>
  </si>
  <si>
    <t>ERUs sale price</t>
  </si>
  <si>
    <t>TMV pardavimo kaina</t>
  </si>
  <si>
    <t>Benchmark</t>
  </si>
  <si>
    <t>Etaloninė vertė</t>
  </si>
  <si>
    <t>Cash flow without CO2</t>
  </si>
  <si>
    <t>Cash flow with CO2</t>
  </si>
  <si>
    <r>
      <t>·</t>
    </r>
    <r>
      <rPr>
        <sz val="14"/>
        <rFont val="Times New Roman"/>
        <family val="1"/>
        <charset val="186"/>
      </rPr>
      <t>         A contract for wind turbines technical maintenance was signed with the Enercon GmbH. Starting from the first year of operation the fee shall consists of the fixed amount plus the varying amount depending on the scope of electricity production. All other risks will be covered by the insurance agreement between UAB Gemba and insurance company. No additional equipment repair costs shall be incurred;</t>
    </r>
  </si>
  <si>
    <r>
      <t>·</t>
    </r>
    <r>
      <rPr>
        <sz val="14"/>
        <rFont val="Times New Roman"/>
        <family val="1"/>
        <charset val="186"/>
      </rPr>
      <t>         Currently there is no information on the assumptions that may arise and have a significant impact on the project profitability.</t>
    </r>
  </si>
  <si>
    <r>
      <t>·</t>
    </r>
    <r>
      <rPr>
        <sz val="14"/>
        <rFont val="Times New Roman"/>
        <family val="1"/>
        <charset val="186"/>
      </rPr>
      <t>         Deviations during sensitivity analysis were assessed following Clause 17 of the Tool for the Demonstration and Assessment of Additionality v05.2. Variation range is based on the level +20% and -20%.</t>
    </r>
  </si>
  <si>
    <r>
      <t>·</t>
    </r>
    <r>
      <rPr>
        <sz val="14"/>
        <rFont val="Times New Roman"/>
        <family val="1"/>
        <charset val="186"/>
      </rPr>
      <t>         On the end of project lifetime period (after 20 years), the fixed assets of the company shall amount to 0 LTL. Old turbines as well as foundations will be dismantled for its residue values.</t>
    </r>
  </si>
  <si>
    <r>
      <t>·</t>
    </r>
    <r>
      <rPr>
        <sz val="14"/>
        <rFont val="Times New Roman"/>
        <family val="1"/>
        <charset val="186"/>
      </rPr>
      <t>      Projects fixed assets were calculated based on existing wind power park erection contracts (wind turbines, roads, connection to electricity network, project documentation and other costs).</t>
    </r>
  </si>
  <si>
    <r>
      <t>·</t>
    </r>
    <r>
      <rPr>
        <sz val="14"/>
        <rFont val="Times New Roman"/>
        <family val="1"/>
        <charset val="186"/>
      </rPr>
      <t>         Applied interest rates are based on contract with commercial bank and loan agreement with shareholder.</t>
    </r>
  </si>
  <si>
    <r>
      <t>·</t>
    </r>
    <r>
      <rPr>
        <sz val="14"/>
        <rFont val="Times New Roman"/>
        <family val="1"/>
        <charset val="186"/>
      </rPr>
      <t>         Depreciation of the wind power station fleet –  20 years (based on turbine manufacturer's data), tax depreciation - 8 years.</t>
    </r>
  </si>
  <si>
    <r>
      <t>·</t>
    </r>
    <r>
      <rPr>
        <sz val="14"/>
        <rFont val="Times New Roman"/>
        <family val="1"/>
        <charset val="186"/>
      </rPr>
      <t>        The profit tax established by Lithuanian government currently amounts to 15% and shall be valid for the entire project period. Due to differences between accounting and tax depreciation a deferred tax liability is formed;</t>
    </r>
  </si>
  <si>
    <r>
      <t>·</t>
    </r>
    <r>
      <rPr>
        <sz val="14"/>
        <rFont val="Times New Roman"/>
        <family val="1"/>
        <charset val="186"/>
      </rPr>
      <t>       An interest rate for new loans to non-financial corporations is applied for projects benchmark IRR (period between 2008.05.01 and 2008.10.31)</t>
    </r>
  </si>
  <si>
    <r>
      <t>·</t>
    </r>
    <r>
      <rPr>
        <sz val="14"/>
        <rFont val="Times New Roman"/>
        <family val="1"/>
        <charset val="186"/>
      </rPr>
      <t>      Projects O&amp;М expenses include wages, insurance, accounting and legal expenses, maintenance and other  (reserve for unforeseen expenses). Annual inflation rate of 2 % is applied.</t>
    </r>
  </si>
  <si>
    <r>
      <rPr>
        <b/>
        <sz val="11"/>
        <color indexed="8"/>
        <rFont val="Calibri"/>
        <family val="2"/>
        <charset val="186"/>
      </rPr>
      <t>Currency:</t>
    </r>
    <r>
      <rPr>
        <sz val="11"/>
        <color theme="1"/>
        <rFont val="Calibri"/>
        <family val="2"/>
        <charset val="186"/>
        <scheme val="minor"/>
      </rPr>
      <t xml:space="preserve">    </t>
    </r>
    <r>
      <rPr>
        <b/>
        <sz val="11"/>
        <color indexed="60"/>
        <rFont val="Calibri"/>
        <family val="2"/>
        <charset val="186"/>
      </rPr>
      <t>tsd. EUR</t>
    </r>
  </si>
  <si>
    <t>Date</t>
  </si>
  <si>
    <t>Inflation factor</t>
  </si>
  <si>
    <t>Installed capacity</t>
  </si>
  <si>
    <t>Electricity generation</t>
  </si>
  <si>
    <t>Income statement</t>
  </si>
  <si>
    <t>Tariff</t>
  </si>
  <si>
    <t>Revenue</t>
  </si>
  <si>
    <t>Total revenues:</t>
  </si>
  <si>
    <t>EPK contract</t>
  </si>
  <si>
    <t>O&amp;M</t>
  </si>
  <si>
    <t>Total O&amp;M</t>
  </si>
  <si>
    <t>Depreciation</t>
  </si>
  <si>
    <t>Interest on senior debt</t>
  </si>
  <si>
    <t>interest on other loans</t>
  </si>
  <si>
    <t>Cash profit tax</t>
  </si>
  <si>
    <t>Change in deferred tax</t>
  </si>
  <si>
    <t>PAT</t>
  </si>
  <si>
    <t>Balance sheet</t>
  </si>
  <si>
    <t>Fixed assets</t>
  </si>
  <si>
    <t>Amounts recievable</t>
  </si>
  <si>
    <t>Other assets</t>
  </si>
  <si>
    <t>Cash</t>
  </si>
  <si>
    <t>Total assets:</t>
  </si>
  <si>
    <t>Share capital</t>
  </si>
  <si>
    <t>Reserves</t>
  </si>
  <si>
    <t>Retained earnings</t>
  </si>
  <si>
    <t>Deferred tax liabilities</t>
  </si>
  <si>
    <t>Bank loans</t>
  </si>
  <si>
    <t>Other loans</t>
  </si>
  <si>
    <t>Amounts payable within one year</t>
  </si>
  <si>
    <t>Total equity and liabilities:</t>
  </si>
  <si>
    <t>Cash flow statement</t>
  </si>
  <si>
    <t>Tax</t>
  </si>
  <si>
    <t>Capex</t>
  </si>
  <si>
    <t>Debt draw down</t>
  </si>
  <si>
    <t>Interest payment</t>
  </si>
  <si>
    <t>Debt repayment</t>
  </si>
  <si>
    <t>Total cash flow</t>
  </si>
  <si>
    <t>Interest on other loans</t>
  </si>
  <si>
    <t>Repayment of other loans</t>
  </si>
  <si>
    <t>Dividends</t>
  </si>
  <si>
    <t>Capital reduction</t>
  </si>
  <si>
    <t>Cash flows to investors</t>
  </si>
  <si>
    <t>Bank loan</t>
  </si>
  <si>
    <t>Opening</t>
  </si>
  <si>
    <t>Repayment</t>
  </si>
  <si>
    <t>Closing</t>
  </si>
  <si>
    <t>Interest expense</t>
  </si>
  <si>
    <t>Interest capitalised</t>
  </si>
  <si>
    <t>Tax depretiation</t>
  </si>
  <si>
    <t>Gross value</t>
  </si>
  <si>
    <t>Accrued depreciation</t>
  </si>
  <si>
    <t>Net value</t>
  </si>
  <si>
    <t>Accounting depretiation</t>
  </si>
  <si>
    <t>Cash tax</t>
  </si>
  <si>
    <t>Tax allowance</t>
  </si>
  <si>
    <t>Interest expense on loan</t>
  </si>
  <si>
    <t>PBT</t>
  </si>
  <si>
    <t>Tax for the year</t>
  </si>
  <si>
    <t>Tax loss utililised</t>
  </si>
  <si>
    <t>Resulting cash tax</t>
  </si>
  <si>
    <t>Opening tax loss</t>
  </si>
  <si>
    <t>Tax loss created</t>
  </si>
  <si>
    <t>Tax loss utilised</t>
  </si>
  <si>
    <t>Tax loss lost after 5-years</t>
  </si>
  <si>
    <t>Closing tax loss</t>
  </si>
  <si>
    <t>Electricity price</t>
  </si>
  <si>
    <t>Feed in tariff</t>
  </si>
  <si>
    <t>Wholesale electricity price</t>
  </si>
  <si>
    <t>Tariff validation</t>
  </si>
  <si>
    <t>Start date</t>
  </si>
  <si>
    <t>Operating assumptions</t>
  </si>
  <si>
    <t>Operation (years)</t>
  </si>
  <si>
    <t>Turbines</t>
  </si>
  <si>
    <t>Production</t>
  </si>
  <si>
    <t>Availability</t>
  </si>
  <si>
    <t>Net production</t>
  </si>
  <si>
    <t>Initial debt</t>
  </si>
  <si>
    <t>Base rate</t>
  </si>
  <si>
    <t>Margin</t>
  </si>
  <si>
    <t>Tenure</t>
  </si>
  <si>
    <t>1st phase</t>
  </si>
  <si>
    <t>ERUs amount</t>
  </si>
  <si>
    <t>Price</t>
  </si>
  <si>
    <t>Until</t>
  </si>
  <si>
    <t>up to 4500 MWh</t>
  </si>
  <si>
    <t>Over  4500 MWh</t>
  </si>
  <si>
    <t>kWh/turb</t>
  </si>
  <si>
    <t>2010 kEUR / turb</t>
  </si>
  <si>
    <t>Wages</t>
  </si>
  <si>
    <t>Investments</t>
  </si>
  <si>
    <t>Connection to network</t>
  </si>
  <si>
    <t>Roads</t>
  </si>
  <si>
    <t>Other</t>
  </si>
  <si>
    <t>Accounting</t>
  </si>
  <si>
    <t>Insurance</t>
  </si>
  <si>
    <t>Veritas audit</t>
  </si>
  <si>
    <t>Bank fees</t>
  </si>
  <si>
    <t>LTL</t>
  </si>
  <si>
    <t>Cables</t>
  </si>
  <si>
    <t>Interest rate on shareholder loan</t>
  </si>
  <si>
    <t>tsnd EUR</t>
  </si>
  <si>
    <t>Year</t>
  </si>
  <si>
    <t>Shareholder loan</t>
  </si>
  <si>
    <r>
      <t>·</t>
    </r>
    <r>
      <rPr>
        <sz val="14"/>
        <rFont val="Times New Roman"/>
        <family val="1"/>
        <charset val="186"/>
      </rPr>
      <t xml:space="preserve">        The purchase price of the produced energy – 0,30 LTL/kWh (Resolution No. O3-27 of the State price and Energy Control Commission of 21 February 2008). Feed-in tariff is valid until 2020. Following Y2020 generated electricity shall be sold at Lithuanian wholesale electricity market.  Wholesale electricity price is based on average market price in Y2010, declared by market operator of Lithuania (Baltpool). Moderate annual price growth at 2% is applied, considering soaring prices in electricity and other energy markets (oil, natural gas and other). </t>
    </r>
  </si>
  <si>
    <r>
      <t>·</t>
    </r>
    <r>
      <rPr>
        <sz val="14"/>
        <rFont val="Times New Roman"/>
        <family val="1"/>
        <charset val="186"/>
      </rPr>
      <t>         The purchase price of the ERU – 11 EUR (based on the market research).</t>
    </r>
  </si>
  <si>
    <t>MWh</t>
  </si>
  <si>
    <r>
      <t>·</t>
    </r>
    <r>
      <rPr>
        <sz val="14"/>
        <rFont val="Times New Roman"/>
        <family val="1"/>
        <charset val="186"/>
      </rPr>
      <t>          Capacity factor – 25,9% (based on calculations of the Enercon GmbH including network losses);</t>
    </r>
  </si>
  <si>
    <t>Energy tariff variation range</t>
  </si>
  <si>
    <t>Energy tariff variation</t>
  </si>
  <si>
    <r>
      <t>·</t>
    </r>
    <r>
      <rPr>
        <sz val="14"/>
        <rFont val="Times New Roman"/>
        <family val="1"/>
        <charset val="186"/>
      </rPr>
      <t>         Sensitivity analysis results are based on the changes of energy tariff variation after 2020 (sheet Initial data, cell C5), power generation (sheet Initial data, cell C17) and price of ERU (sheet Initial data, cell C31)</t>
    </r>
  </si>
</sst>
</file>

<file path=xl/styles.xml><?xml version="1.0" encoding="utf-8"?>
<styleSheet xmlns="http://schemas.openxmlformats.org/spreadsheetml/2006/main">
  <numFmts count="13">
    <numFmt numFmtId="43" formatCode="_-* #,##0.00\ _L_t_-;\-* #,##0.00\ _L_t_-;_-* &quot;-&quot;??\ _L_t_-;_-@_-"/>
    <numFmt numFmtId="164" formatCode="0.0"/>
    <numFmt numFmtId="165" formatCode="_(* #,##0_);_(* \(#,##0\);_(* &quot;-&quot;??_);_(@_)"/>
    <numFmt numFmtId="166" formatCode="0.0%"/>
    <numFmt numFmtId="167" formatCode="#,##0.0"/>
    <numFmt numFmtId="168" formatCode="0.0000"/>
    <numFmt numFmtId="169" formatCode="#,##0.0;\(#,##0.0\)"/>
    <numFmt numFmtId="170" formatCode="0.00%\ &quot;(2 mėn.)&quot;"/>
    <numFmt numFmtId="171" formatCode="#,##0.0\ &quot;(2 mėn.)&quot;"/>
    <numFmt numFmtId="172" formatCode="#,##0.00_ ;\-#,##0.00\ "/>
    <numFmt numFmtId="173" formatCode="_-* #,##0\ _L_t_-;\-* #,##0\ _L_t_-;_-* &quot;-&quot;??\ _L_t_-;_-@_-"/>
    <numFmt numFmtId="174" formatCode="#,##0_ ;[Red]\-#,##0\ "/>
    <numFmt numFmtId="175" formatCode="#,##0.00_ ;[Red]\-#,##0.00\ "/>
  </numFmts>
  <fonts count="37">
    <font>
      <sz val="11"/>
      <color theme="1"/>
      <name val="Calibri"/>
      <family val="2"/>
      <charset val="186"/>
      <scheme val="minor"/>
    </font>
    <font>
      <sz val="11"/>
      <color indexed="8"/>
      <name val="Calibri"/>
      <family val="2"/>
      <charset val="186"/>
    </font>
    <font>
      <b/>
      <sz val="11"/>
      <color indexed="9"/>
      <name val="Calibri"/>
      <family val="2"/>
      <charset val="186"/>
    </font>
    <font>
      <b/>
      <sz val="11"/>
      <color indexed="8"/>
      <name val="Calibri"/>
      <family val="2"/>
      <charset val="186"/>
    </font>
    <font>
      <sz val="10"/>
      <name val="Arial"/>
      <family val="2"/>
    </font>
    <font>
      <b/>
      <sz val="10"/>
      <name val="Arial"/>
      <family val="2"/>
    </font>
    <font>
      <sz val="10"/>
      <color indexed="56"/>
      <name val="Arial"/>
      <family val="2"/>
    </font>
    <font>
      <b/>
      <sz val="10"/>
      <color indexed="56"/>
      <name val="Arial"/>
      <family val="2"/>
    </font>
    <font>
      <b/>
      <i/>
      <sz val="10"/>
      <name val="Arial"/>
      <family val="2"/>
    </font>
    <font>
      <sz val="11"/>
      <color indexed="9"/>
      <name val="Calibri"/>
      <family val="2"/>
      <charset val="186"/>
    </font>
    <font>
      <b/>
      <sz val="10"/>
      <name val="Arial"/>
      <family val="2"/>
      <charset val="186"/>
    </font>
    <font>
      <i/>
      <sz val="8"/>
      <color indexed="8"/>
      <name val="Calibri"/>
      <family val="2"/>
      <charset val="186"/>
    </font>
    <font>
      <b/>
      <sz val="11"/>
      <color indexed="60"/>
      <name val="Calibri"/>
      <family val="2"/>
      <charset val="186"/>
    </font>
    <font>
      <sz val="9"/>
      <color indexed="81"/>
      <name val="Tahoma"/>
      <family val="2"/>
      <charset val="186"/>
    </font>
    <font>
      <b/>
      <sz val="9"/>
      <color indexed="81"/>
      <name val="Tahoma"/>
      <family val="2"/>
      <charset val="186"/>
    </font>
    <font>
      <b/>
      <sz val="10"/>
      <color indexed="56"/>
      <name val="Arial"/>
      <family val="2"/>
      <charset val="186"/>
    </font>
    <font>
      <i/>
      <sz val="11"/>
      <color indexed="8"/>
      <name val="Calibri"/>
      <family val="2"/>
      <charset val="186"/>
    </font>
    <font>
      <b/>
      <i/>
      <sz val="11"/>
      <color indexed="9"/>
      <name val="Calibri"/>
      <family val="2"/>
      <charset val="186"/>
    </font>
    <font>
      <b/>
      <i/>
      <sz val="11"/>
      <color indexed="8"/>
      <name val="Calibri"/>
      <family val="2"/>
      <charset val="186"/>
    </font>
    <font>
      <sz val="10"/>
      <color indexed="10"/>
      <name val="Arial"/>
      <family val="2"/>
    </font>
    <font>
      <b/>
      <sz val="11"/>
      <name val="Calibri"/>
      <family val="2"/>
      <charset val="186"/>
    </font>
    <font>
      <sz val="11"/>
      <name val="Calibri"/>
      <family val="2"/>
      <charset val="186"/>
    </font>
    <font>
      <sz val="10"/>
      <name val="Arial"/>
    </font>
    <font>
      <b/>
      <sz val="14"/>
      <name val="Times New Roman"/>
      <family val="1"/>
      <charset val="186"/>
    </font>
    <font>
      <sz val="14"/>
      <name val="Times New Roman"/>
      <family val="1"/>
      <charset val="186"/>
    </font>
    <font>
      <sz val="14"/>
      <name val="Symbol"/>
      <family val="1"/>
      <charset val="2"/>
    </font>
    <font>
      <i/>
      <sz val="10"/>
      <name val="Arial"/>
      <family val="2"/>
    </font>
    <font>
      <b/>
      <i/>
      <sz val="10"/>
      <name val="Arial"/>
      <family val="2"/>
      <charset val="186"/>
    </font>
    <font>
      <i/>
      <sz val="12"/>
      <name val="Arial"/>
      <family val="2"/>
      <charset val="186"/>
    </font>
    <font>
      <i/>
      <sz val="10"/>
      <name val="Arial"/>
      <family val="2"/>
      <charset val="186"/>
    </font>
    <font>
      <i/>
      <sz val="10"/>
      <color indexed="10"/>
      <name val="Arial"/>
      <family val="2"/>
      <charset val="186"/>
    </font>
    <font>
      <b/>
      <i/>
      <sz val="10"/>
      <color indexed="10"/>
      <name val="Arial"/>
      <family val="2"/>
      <charset val="186"/>
    </font>
    <font>
      <sz val="11"/>
      <name val="Times New Roman"/>
      <family val="1"/>
      <charset val="186"/>
    </font>
    <font>
      <b/>
      <sz val="11"/>
      <name val="Times New Roman"/>
      <family val="1"/>
      <charset val="186"/>
    </font>
    <font>
      <sz val="11"/>
      <color indexed="8"/>
      <name val="Calibri"/>
      <family val="2"/>
      <charset val="186"/>
    </font>
    <font>
      <b/>
      <sz val="11"/>
      <color indexed="8"/>
      <name val="Calibri"/>
      <family val="2"/>
      <charset val="186"/>
    </font>
    <font>
      <sz val="8"/>
      <name val="Calibri"/>
      <family val="2"/>
      <charset val="186"/>
    </font>
  </fonts>
  <fills count="8">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indexed="57"/>
        <bgColor indexed="64"/>
      </patternFill>
    </fill>
    <fill>
      <patternFill patternType="solid">
        <fgColor indexed="43"/>
        <bgColor indexed="64"/>
      </patternFill>
    </fill>
    <fill>
      <patternFill patternType="solid">
        <fgColor indexed="47"/>
        <bgColor indexed="64"/>
      </patternFill>
    </fill>
    <fill>
      <patternFill patternType="solid">
        <fgColor indexed="13"/>
        <bgColor indexed="64"/>
      </patternFill>
    </fill>
  </fills>
  <borders count="26">
    <border>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medium">
        <color indexed="57"/>
      </top>
      <bottom style="thin">
        <color indexed="57"/>
      </bottom>
      <diagonal/>
    </border>
    <border>
      <left style="hair">
        <color indexed="23"/>
      </left>
      <right style="hair">
        <color indexed="23"/>
      </right>
      <top style="hair">
        <color indexed="23"/>
      </top>
      <bottom style="hair">
        <color indexed="23"/>
      </bottom>
      <diagonal/>
    </border>
    <border>
      <left style="hair">
        <color indexed="23"/>
      </left>
      <right/>
      <top style="medium">
        <color indexed="57"/>
      </top>
      <bottom style="hair">
        <color indexed="23"/>
      </bottom>
      <diagonal/>
    </border>
    <border>
      <left style="hair">
        <color indexed="23"/>
      </left>
      <right/>
      <top style="hair">
        <color indexed="23"/>
      </top>
      <bottom style="hair">
        <color indexed="23"/>
      </bottom>
      <diagonal/>
    </border>
    <border>
      <left/>
      <right style="hair">
        <color indexed="23"/>
      </right>
      <top style="medium">
        <color indexed="57"/>
      </top>
      <bottom style="hair">
        <color indexed="23"/>
      </bottom>
      <diagonal/>
    </border>
    <border>
      <left/>
      <right style="hair">
        <color indexed="23"/>
      </right>
      <top style="hair">
        <color indexed="23"/>
      </top>
      <bottom style="hair">
        <color indexed="23"/>
      </bottom>
      <diagonal/>
    </border>
    <border>
      <left style="hair">
        <color indexed="23"/>
      </left>
      <right style="hair">
        <color indexed="23"/>
      </right>
      <top style="thin">
        <color indexed="57"/>
      </top>
      <bottom style="hair">
        <color indexed="23"/>
      </bottom>
      <diagonal/>
    </border>
    <border>
      <left style="hair">
        <color indexed="23"/>
      </left>
      <right style="hair">
        <color indexed="23"/>
      </right>
      <top style="medium">
        <color indexed="57"/>
      </top>
      <bottom style="hair">
        <color indexed="23"/>
      </bottom>
      <diagonal/>
    </border>
    <border>
      <left style="hair">
        <color indexed="23"/>
      </left>
      <right style="hair">
        <color indexed="23"/>
      </right>
      <top style="thin">
        <color indexed="57"/>
      </top>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bottom style="thin">
        <color indexed="64"/>
      </bottom>
      <diagonal/>
    </border>
    <border>
      <left style="hair">
        <color indexed="23"/>
      </left>
      <right style="hair">
        <color indexed="23"/>
      </right>
      <top style="hair">
        <color indexed="23"/>
      </top>
      <bottom/>
      <diagonal/>
    </border>
    <border>
      <left style="medium">
        <color indexed="64"/>
      </left>
      <right style="medium">
        <color indexed="64"/>
      </right>
      <top style="medium">
        <color indexed="64"/>
      </top>
      <bottom style="medium">
        <color indexed="64"/>
      </bottom>
      <diagonal/>
    </border>
    <border>
      <left style="hair">
        <color indexed="23"/>
      </left>
      <right style="hair">
        <color indexed="23"/>
      </right>
      <top/>
      <bottom style="hair">
        <color indexed="23"/>
      </bottom>
      <diagonal/>
    </border>
  </borders>
  <cellStyleXfs count="6">
    <xf numFmtId="0" fontId="0" fillId="0" borderId="0"/>
    <xf numFmtId="43" fontId="1" fillId="0" borderId="0" applyFont="0" applyFill="0" applyBorder="0" applyAlignment="0" applyProtection="0"/>
    <xf numFmtId="43" fontId="22" fillId="0" borderId="0" applyFont="0" applyFill="0" applyBorder="0" applyAlignment="0" applyProtection="0"/>
    <xf numFmtId="0" fontId="22" fillId="0" borderId="0"/>
    <xf numFmtId="9" fontId="1" fillId="0" borderId="0" applyFont="0" applyFill="0" applyBorder="0" applyAlignment="0" applyProtection="0"/>
    <xf numFmtId="9" fontId="22" fillId="0" borderId="0" applyFont="0" applyFill="0" applyBorder="0" applyAlignment="0" applyProtection="0"/>
  </cellStyleXfs>
  <cellXfs count="185">
    <xf numFmtId="0" fontId="0" fillId="0" borderId="0" xfId="0"/>
    <xf numFmtId="0" fontId="0" fillId="2" borderId="0" xfId="0" applyFill="1"/>
    <xf numFmtId="0" fontId="4" fillId="2" borderId="0" xfId="0" applyFont="1" applyFill="1" applyAlignment="1">
      <alignment horizontal="left" wrapText="1"/>
    </xf>
    <xf numFmtId="0" fontId="4" fillId="2" borderId="0" xfId="0" applyFont="1" applyFill="1" applyBorder="1" applyAlignment="1">
      <alignment horizontal="left" wrapText="1"/>
    </xf>
    <xf numFmtId="0" fontId="4" fillId="2" borderId="0" xfId="0" applyFont="1" applyFill="1"/>
    <xf numFmtId="0" fontId="4" fillId="2" borderId="0" xfId="0" applyFont="1" applyFill="1" applyBorder="1"/>
    <xf numFmtId="164" fontId="6" fillId="2" borderId="0" xfId="0" applyNumberFormat="1" applyFont="1" applyFill="1"/>
    <xf numFmtId="164" fontId="4" fillId="2" borderId="0" xfId="0" applyNumberFormat="1" applyFont="1" applyFill="1" applyAlignment="1">
      <alignment horizontal="left" wrapText="1"/>
    </xf>
    <xf numFmtId="164" fontId="4" fillId="2" borderId="0" xfId="0" applyNumberFormat="1" applyFont="1" applyFill="1"/>
    <xf numFmtId="166" fontId="6" fillId="2" borderId="0" xfId="0" applyNumberFormat="1" applyFont="1" applyFill="1"/>
    <xf numFmtId="9" fontId="6" fillId="2" borderId="0" xfId="0" applyNumberFormat="1" applyFont="1" applyFill="1"/>
    <xf numFmtId="0" fontId="2" fillId="2" borderId="0" xfId="0" applyFont="1" applyFill="1"/>
    <xf numFmtId="4" fontId="0" fillId="2" borderId="0" xfId="0" applyNumberFormat="1" applyFill="1"/>
    <xf numFmtId="167" fontId="0" fillId="2" borderId="0" xfId="0" applyNumberFormat="1" applyFill="1"/>
    <xf numFmtId="0" fontId="3" fillId="2" borderId="0" xfId="0" applyFont="1" applyFill="1"/>
    <xf numFmtId="167" fontId="3" fillId="2" borderId="0" xfId="0" applyNumberFormat="1" applyFont="1" applyFill="1"/>
    <xf numFmtId="169" fontId="0" fillId="2" borderId="0" xfId="0" applyNumberFormat="1" applyFill="1" applyBorder="1" applyAlignment="1">
      <alignment horizontal="right"/>
    </xf>
    <xf numFmtId="0" fontId="0" fillId="2" borderId="0" xfId="0" applyFill="1" applyBorder="1"/>
    <xf numFmtId="0" fontId="0" fillId="2" borderId="0" xfId="0" applyFont="1" applyFill="1"/>
    <xf numFmtId="0" fontId="10" fillId="3" borderId="1" xfId="0" applyFont="1" applyFill="1" applyBorder="1" applyAlignment="1">
      <alignment horizontal="left" wrapText="1"/>
    </xf>
    <xf numFmtId="0" fontId="10" fillId="3" borderId="2" xfId="0" applyFont="1" applyFill="1" applyBorder="1"/>
    <xf numFmtId="166" fontId="10" fillId="3" borderId="3" xfId="4" applyNumberFormat="1" applyFont="1" applyFill="1" applyBorder="1"/>
    <xf numFmtId="0" fontId="11" fillId="2" borderId="0" xfId="0" applyFont="1" applyFill="1"/>
    <xf numFmtId="0" fontId="2" fillId="4" borderId="4" xfId="0" applyFont="1" applyFill="1" applyBorder="1"/>
    <xf numFmtId="0" fontId="0" fillId="2" borderId="5" xfId="0" applyFill="1" applyBorder="1"/>
    <xf numFmtId="0" fontId="2" fillId="4" borderId="5" xfId="0" applyFont="1" applyFill="1" applyBorder="1"/>
    <xf numFmtId="167" fontId="0" fillId="2" borderId="5" xfId="0" applyNumberFormat="1" applyFill="1" applyBorder="1"/>
    <xf numFmtId="0" fontId="3" fillId="2" borderId="5" xfId="0" applyFont="1" applyFill="1" applyBorder="1"/>
    <xf numFmtId="167" fontId="3" fillId="2" borderId="5" xfId="0" applyNumberFormat="1" applyFont="1" applyFill="1" applyBorder="1"/>
    <xf numFmtId="0" fontId="2" fillId="4" borderId="6" xfId="0" applyFont="1" applyFill="1" applyBorder="1"/>
    <xf numFmtId="0" fontId="0" fillId="2" borderId="7" xfId="0" applyFill="1" applyBorder="1"/>
    <xf numFmtId="0" fontId="11" fillId="2" borderId="7" xfId="0" applyFont="1" applyFill="1" applyBorder="1"/>
    <xf numFmtId="0" fontId="0" fillId="2" borderId="7" xfId="0" applyFont="1" applyFill="1" applyBorder="1"/>
    <xf numFmtId="0" fontId="2" fillId="4" borderId="8" xfId="0" applyFont="1" applyFill="1" applyBorder="1"/>
    <xf numFmtId="4" fontId="0" fillId="2" borderId="9" xfId="0" applyNumberFormat="1" applyFill="1" applyBorder="1"/>
    <xf numFmtId="0" fontId="0" fillId="2" borderId="9" xfId="0" applyFill="1" applyBorder="1"/>
    <xf numFmtId="0" fontId="3" fillId="2" borderId="9" xfId="0" applyFont="1" applyFill="1" applyBorder="1"/>
    <xf numFmtId="0" fontId="0" fillId="2" borderId="9" xfId="0" applyFont="1" applyFill="1" applyBorder="1"/>
    <xf numFmtId="167" fontId="0" fillId="2" borderId="9" xfId="0" applyNumberFormat="1" applyFont="1" applyFill="1" applyBorder="1"/>
    <xf numFmtId="167" fontId="3" fillId="2" borderId="9" xfId="0" applyNumberFormat="1" applyFont="1" applyFill="1" applyBorder="1"/>
    <xf numFmtId="167" fontId="11" fillId="2" borderId="9" xfId="0" applyNumberFormat="1" applyFont="1" applyFill="1" applyBorder="1"/>
    <xf numFmtId="0" fontId="2" fillId="2" borderId="10" xfId="0" applyFont="1" applyFill="1" applyBorder="1"/>
    <xf numFmtId="0" fontId="9" fillId="2" borderId="0" xfId="0" applyFont="1" applyFill="1"/>
    <xf numFmtId="0" fontId="9" fillId="2" borderId="0" xfId="0" applyFont="1" applyFill="1" applyBorder="1"/>
    <xf numFmtId="0" fontId="0" fillId="2" borderId="0" xfId="0" applyFill="1" applyAlignment="1">
      <alignment horizontal="center"/>
    </xf>
    <xf numFmtId="0" fontId="9" fillId="2" borderId="0" xfId="0" applyFont="1" applyFill="1" applyAlignment="1">
      <alignment horizontal="center"/>
    </xf>
    <xf numFmtId="0" fontId="2" fillId="4" borderId="11" xfId="0" applyFont="1" applyFill="1" applyBorder="1" applyAlignment="1">
      <alignment horizontal="center"/>
    </xf>
    <xf numFmtId="4" fontId="0" fillId="2" borderId="5" xfId="0" applyNumberFormat="1" applyFill="1" applyBorder="1" applyAlignment="1">
      <alignment horizontal="center"/>
    </xf>
    <xf numFmtId="0" fontId="0" fillId="2" borderId="5" xfId="0" applyFill="1" applyBorder="1" applyAlignment="1">
      <alignment horizontal="center"/>
    </xf>
    <xf numFmtId="10" fontId="0" fillId="2" borderId="5" xfId="0" applyNumberFormat="1" applyFill="1" applyBorder="1" applyAlignment="1">
      <alignment horizontal="center"/>
    </xf>
    <xf numFmtId="3" fontId="0" fillId="2" borderId="5" xfId="0" applyNumberFormat="1" applyFill="1" applyBorder="1" applyAlignment="1">
      <alignment horizontal="center"/>
    </xf>
    <xf numFmtId="167" fontId="0" fillId="2" borderId="5" xfId="0" applyNumberFormat="1" applyFill="1" applyBorder="1" applyAlignment="1">
      <alignment horizontal="center"/>
    </xf>
    <xf numFmtId="167" fontId="3" fillId="2" borderId="5" xfId="0" applyNumberFormat="1" applyFont="1" applyFill="1" applyBorder="1" applyAlignment="1">
      <alignment horizontal="center"/>
    </xf>
    <xf numFmtId="167" fontId="0" fillId="2" borderId="5" xfId="0" applyNumberFormat="1" applyFont="1" applyFill="1" applyBorder="1" applyAlignment="1">
      <alignment horizontal="center"/>
    </xf>
    <xf numFmtId="167" fontId="11" fillId="2" borderId="5" xfId="0" applyNumberFormat="1" applyFont="1" applyFill="1" applyBorder="1" applyAlignment="1">
      <alignment horizontal="center"/>
    </xf>
    <xf numFmtId="3" fontId="0" fillId="2" borderId="0" xfId="0" applyNumberFormat="1" applyFill="1"/>
    <xf numFmtId="170" fontId="0" fillId="2" borderId="5" xfId="0" applyNumberFormat="1" applyFill="1" applyBorder="1" applyAlignment="1">
      <alignment horizontal="center"/>
    </xf>
    <xf numFmtId="171" fontId="0" fillId="2" borderId="5" xfId="0" applyNumberFormat="1" applyFill="1" applyBorder="1" applyAlignment="1">
      <alignment horizontal="center"/>
    </xf>
    <xf numFmtId="0" fontId="16" fillId="2" borderId="0" xfId="0" applyFont="1" applyFill="1"/>
    <xf numFmtId="0" fontId="17" fillId="4" borderId="11" xfId="0" applyFont="1" applyFill="1" applyBorder="1" applyAlignment="1">
      <alignment horizontal="center"/>
    </xf>
    <xf numFmtId="0" fontId="17" fillId="2" borderId="12" xfId="0" applyFont="1" applyFill="1" applyBorder="1"/>
    <xf numFmtId="0" fontId="17" fillId="4" borderId="5" xfId="0" applyFont="1" applyFill="1" applyBorder="1" applyAlignment="1">
      <alignment horizontal="center"/>
    </xf>
    <xf numFmtId="167" fontId="16" fillId="2" borderId="5" xfId="0" applyNumberFormat="1" applyFont="1" applyFill="1" applyBorder="1"/>
    <xf numFmtId="0" fontId="16" fillId="2" borderId="5" xfId="0" applyFont="1" applyFill="1" applyBorder="1"/>
    <xf numFmtId="167" fontId="18" fillId="2" borderId="5" xfId="0" applyNumberFormat="1" applyFont="1" applyFill="1" applyBorder="1"/>
    <xf numFmtId="167" fontId="16" fillId="2" borderId="0" xfId="0" applyNumberFormat="1" applyFont="1" applyFill="1"/>
    <xf numFmtId="165" fontId="6" fillId="2" borderId="0" xfId="1" applyNumberFormat="1" applyFont="1" applyFill="1" applyAlignment="1">
      <alignment horizontal="center"/>
    </xf>
    <xf numFmtId="0" fontId="0" fillId="5" borderId="7" xfId="0" applyFont="1" applyFill="1" applyBorder="1"/>
    <xf numFmtId="167" fontId="3" fillId="5" borderId="9" xfId="0" applyNumberFormat="1" applyFont="1" applyFill="1" applyBorder="1"/>
    <xf numFmtId="167" fontId="0" fillId="5" borderId="5" xfId="0" applyNumberFormat="1" applyFont="1" applyFill="1" applyBorder="1" applyAlignment="1">
      <alignment horizontal="center"/>
    </xf>
    <xf numFmtId="0" fontId="0" fillId="6" borderId="7" xfId="0" applyFont="1" applyFill="1" applyBorder="1"/>
    <xf numFmtId="167" fontId="3" fillId="6" borderId="9" xfId="0" applyNumberFormat="1" applyFont="1" applyFill="1" applyBorder="1"/>
    <xf numFmtId="167" fontId="0" fillId="6" borderId="5" xfId="0" applyNumberFormat="1" applyFont="1" applyFill="1" applyBorder="1" applyAlignment="1">
      <alignment horizontal="center"/>
    </xf>
    <xf numFmtId="167" fontId="0" fillId="2" borderId="7" xfId="0" applyNumberFormat="1" applyFont="1" applyFill="1" applyBorder="1" applyAlignment="1">
      <alignment horizontal="center"/>
    </xf>
    <xf numFmtId="166" fontId="0" fillId="2" borderId="7" xfId="0" applyNumberFormat="1" applyFont="1" applyFill="1" applyBorder="1"/>
    <xf numFmtId="166" fontId="3" fillId="2" borderId="9" xfId="0" applyNumberFormat="1" applyFont="1" applyFill="1" applyBorder="1"/>
    <xf numFmtId="166" fontId="0" fillId="2" borderId="5" xfId="0" applyNumberFormat="1" applyFont="1" applyFill="1" applyBorder="1" applyAlignment="1">
      <alignment horizontal="center"/>
    </xf>
    <xf numFmtId="166" fontId="0" fillId="2" borderId="0" xfId="0" applyNumberFormat="1" applyFill="1"/>
    <xf numFmtId="167" fontId="20" fillId="2" borderId="5" xfId="0" applyNumberFormat="1" applyFont="1" applyFill="1" applyBorder="1" applyAlignment="1">
      <alignment horizontal="center"/>
    </xf>
    <xf numFmtId="0" fontId="21" fillId="2" borderId="5" xfId="0" applyFont="1" applyFill="1" applyBorder="1" applyAlignment="1">
      <alignment horizontal="center"/>
    </xf>
    <xf numFmtId="167" fontId="21" fillId="2" borderId="5" xfId="0" applyNumberFormat="1" applyFont="1" applyFill="1" applyBorder="1" applyAlignment="1">
      <alignment horizontal="center"/>
    </xf>
    <xf numFmtId="167" fontId="0" fillId="2" borderId="9" xfId="0" applyNumberFormat="1" applyFont="1" applyFill="1" applyBorder="1" applyAlignment="1">
      <alignment horizontal="center"/>
    </xf>
    <xf numFmtId="167" fontId="0" fillId="2" borderId="0" xfId="0" applyNumberFormat="1" applyFill="1" applyAlignment="1">
      <alignment horizontal="center"/>
    </xf>
    <xf numFmtId="165" fontId="0" fillId="2" borderId="0" xfId="0" applyNumberFormat="1" applyFill="1"/>
    <xf numFmtId="17" fontId="0" fillId="2" borderId="0" xfId="0" applyNumberFormat="1" applyFill="1"/>
    <xf numFmtId="4" fontId="3" fillId="2" borderId="0" xfId="0" applyNumberFormat="1" applyFont="1" applyFill="1"/>
    <xf numFmtId="4" fontId="16" fillId="2" borderId="5" xfId="0" applyNumberFormat="1" applyFont="1" applyFill="1" applyBorder="1"/>
    <xf numFmtId="4" fontId="0" fillId="2" borderId="5" xfId="0" applyNumberFormat="1" applyFill="1" applyBorder="1"/>
    <xf numFmtId="0" fontId="23" fillId="0" borderId="0" xfId="3" applyFont="1" applyAlignment="1">
      <alignment horizontal="justify"/>
    </xf>
    <xf numFmtId="0" fontId="24" fillId="0" borderId="0" xfId="3" applyFont="1"/>
    <xf numFmtId="0" fontId="24" fillId="0" borderId="0" xfId="3" applyFont="1" applyAlignment="1">
      <alignment horizontal="justify"/>
    </xf>
    <xf numFmtId="0" fontId="25" fillId="0" borderId="13" xfId="3" applyFont="1" applyBorder="1" applyAlignment="1">
      <alignment horizontal="justify"/>
    </xf>
    <xf numFmtId="0" fontId="25" fillId="0" borderId="13" xfId="3" applyFont="1" applyFill="1" applyBorder="1" applyAlignment="1">
      <alignment horizontal="justify"/>
    </xf>
    <xf numFmtId="172" fontId="26" fillId="0" borderId="0" xfId="3" applyNumberFormat="1" applyFont="1" applyBorder="1"/>
    <xf numFmtId="172" fontId="27" fillId="0" borderId="0" xfId="3" applyNumberFormat="1" applyFont="1" applyFill="1" applyBorder="1"/>
    <xf numFmtId="173" fontId="26" fillId="0" borderId="0" xfId="2" applyNumberFormat="1" applyFont="1" applyBorder="1"/>
    <xf numFmtId="0" fontId="26" fillId="0" borderId="0" xfId="3" applyFont="1" applyBorder="1"/>
    <xf numFmtId="0" fontId="22" fillId="0" borderId="0" xfId="3"/>
    <xf numFmtId="172" fontId="28" fillId="0" borderId="0" xfId="3" applyNumberFormat="1" applyFont="1" applyBorder="1"/>
    <xf numFmtId="0" fontId="27" fillId="0" borderId="0" xfId="3" applyFont="1" applyBorder="1" applyAlignment="1">
      <alignment horizontal="right"/>
    </xf>
    <xf numFmtId="9" fontId="29" fillId="0" borderId="13" xfId="5" applyFont="1" applyBorder="1" applyAlignment="1">
      <alignment horizontal="center"/>
    </xf>
    <xf numFmtId="9" fontId="30" fillId="0" borderId="13" xfId="5" applyFont="1" applyBorder="1" applyAlignment="1">
      <alignment horizontal="center"/>
    </xf>
    <xf numFmtId="0" fontId="28" fillId="0" borderId="0" xfId="3" applyFont="1" applyBorder="1"/>
    <xf numFmtId="0" fontId="29" fillId="0" borderId="0" xfId="3" applyFont="1" applyBorder="1" applyAlignment="1">
      <alignment horizontal="right"/>
    </xf>
    <xf numFmtId="174" fontId="29" fillId="0" borderId="13" xfId="2" applyNumberFormat="1" applyFont="1" applyFill="1" applyBorder="1" applyAlignment="1">
      <alignment horizontal="center"/>
    </xf>
    <xf numFmtId="174" fontId="30" fillId="0" borderId="13" xfId="2" applyNumberFormat="1" applyFont="1" applyFill="1" applyBorder="1" applyAlignment="1">
      <alignment horizontal="center"/>
    </xf>
    <xf numFmtId="175" fontId="29" fillId="0" borderId="13" xfId="2" applyNumberFormat="1" applyFont="1" applyFill="1" applyBorder="1" applyAlignment="1">
      <alignment horizontal="center"/>
    </xf>
    <xf numFmtId="172" fontId="26" fillId="0" borderId="0" xfId="3" applyNumberFormat="1" applyFont="1" applyFill="1" applyBorder="1"/>
    <xf numFmtId="2" fontId="29" fillId="0" borderId="0" xfId="3" applyNumberFormat="1" applyFont="1" applyBorder="1" applyAlignment="1">
      <alignment horizontal="center"/>
    </xf>
    <xf numFmtId="175" fontId="29" fillId="0" borderId="0" xfId="2" applyNumberFormat="1" applyFont="1" applyFill="1" applyBorder="1" applyAlignment="1">
      <alignment horizontal="center"/>
    </xf>
    <xf numFmtId="175" fontId="31" fillId="0" borderId="0" xfId="2" applyNumberFormat="1" applyFont="1" applyFill="1" applyBorder="1" applyAlignment="1">
      <alignment horizontal="center"/>
    </xf>
    <xf numFmtId="175" fontId="29" fillId="0" borderId="0" xfId="2" applyNumberFormat="1" applyFont="1" applyFill="1" applyBorder="1"/>
    <xf numFmtId="175" fontId="27" fillId="0" borderId="0" xfId="2" applyNumberFormat="1" applyFont="1" applyFill="1" applyBorder="1" applyAlignment="1">
      <alignment horizontal="right"/>
    </xf>
    <xf numFmtId="9" fontId="30" fillId="0" borderId="13" xfId="3" applyNumberFormat="1" applyFont="1" applyBorder="1" applyAlignment="1">
      <alignment horizontal="center" wrapText="1"/>
    </xf>
    <xf numFmtId="175" fontId="29" fillId="0" borderId="0" xfId="2" applyNumberFormat="1" applyFont="1" applyFill="1" applyBorder="1" applyAlignment="1">
      <alignment horizontal="right"/>
    </xf>
    <xf numFmtId="164" fontId="30" fillId="0" borderId="13" xfId="3" applyNumberFormat="1" applyFont="1" applyBorder="1" applyAlignment="1">
      <alignment horizontal="center" wrapText="1"/>
    </xf>
    <xf numFmtId="172" fontId="28" fillId="0" borderId="0" xfId="3" applyNumberFormat="1" applyFont="1" applyFill="1" applyBorder="1"/>
    <xf numFmtId="173" fontId="28" fillId="0" borderId="0" xfId="2" applyNumberFormat="1" applyFont="1" applyBorder="1"/>
    <xf numFmtId="0" fontId="32" fillId="0" borderId="13" xfId="3" applyFont="1" applyBorder="1" applyAlignment="1">
      <alignment horizontal="justify" vertical="top" wrapText="1"/>
    </xf>
    <xf numFmtId="9" fontId="33" fillId="0" borderId="13" xfId="3" applyNumberFormat="1" applyFont="1" applyBorder="1" applyAlignment="1">
      <alignment horizontal="center" vertical="top" wrapText="1"/>
    </xf>
    <xf numFmtId="0" fontId="32" fillId="0" borderId="13" xfId="3" applyFont="1" applyFill="1" applyBorder="1" applyAlignment="1">
      <alignment horizontal="justify" vertical="top" wrapText="1"/>
    </xf>
    <xf numFmtId="0" fontId="5" fillId="2" borderId="14" xfId="0" applyFont="1" applyFill="1" applyBorder="1" applyAlignment="1">
      <alignment horizontal="left" wrapText="1"/>
    </xf>
    <xf numFmtId="0" fontId="4" fillId="2" borderId="15" xfId="0" applyFont="1" applyFill="1" applyBorder="1"/>
    <xf numFmtId="0" fontId="6" fillId="2" borderId="16" xfId="0" applyFont="1" applyFill="1" applyBorder="1"/>
    <xf numFmtId="0" fontId="4" fillId="2" borderId="17" xfId="0" applyFont="1" applyFill="1" applyBorder="1" applyAlignment="1">
      <alignment horizontal="left" wrapText="1"/>
    </xf>
    <xf numFmtId="164" fontId="6" fillId="2" borderId="18" xfId="0" applyNumberFormat="1" applyFont="1" applyFill="1" applyBorder="1"/>
    <xf numFmtId="164" fontId="4" fillId="2" borderId="17" xfId="0" applyNumberFormat="1" applyFont="1" applyFill="1" applyBorder="1" applyAlignment="1">
      <alignment horizontal="left" wrapText="1"/>
    </xf>
    <xf numFmtId="164" fontId="4" fillId="2" borderId="0" xfId="0" applyNumberFormat="1" applyFont="1" applyFill="1" applyBorder="1"/>
    <xf numFmtId="164" fontId="19" fillId="2" borderId="18" xfId="0" applyNumberFormat="1" applyFont="1" applyFill="1" applyBorder="1"/>
    <xf numFmtId="0" fontId="4" fillId="2" borderId="19" xfId="0" applyFont="1" applyFill="1" applyBorder="1" applyAlignment="1">
      <alignment horizontal="left" wrapText="1"/>
    </xf>
    <xf numFmtId="0" fontId="4" fillId="2" borderId="20" xfId="0" applyFont="1" applyFill="1" applyBorder="1"/>
    <xf numFmtId="14" fontId="15" fillId="2" borderId="21" xfId="0" applyNumberFormat="1" applyFont="1" applyFill="1" applyBorder="1"/>
    <xf numFmtId="9" fontId="4" fillId="2" borderId="17" xfId="0" applyNumberFormat="1" applyFont="1" applyFill="1" applyBorder="1" applyAlignment="1">
      <alignment horizontal="left" wrapText="1"/>
    </xf>
    <xf numFmtId="0" fontId="6" fillId="2" borderId="18" xfId="0" applyFont="1" applyFill="1" applyBorder="1"/>
    <xf numFmtId="165" fontId="6" fillId="2" borderId="18" xfId="1" applyNumberFormat="1" applyFont="1" applyFill="1" applyBorder="1"/>
    <xf numFmtId="0" fontId="5" fillId="2" borderId="17" xfId="0" applyFont="1" applyFill="1" applyBorder="1" applyAlignment="1">
      <alignment horizontal="left" wrapText="1"/>
    </xf>
    <xf numFmtId="0" fontId="5" fillId="2" borderId="0" xfId="0" applyFont="1" applyFill="1" applyBorder="1"/>
    <xf numFmtId="165" fontId="5" fillId="2" borderId="18" xfId="1" applyNumberFormat="1" applyFont="1" applyFill="1" applyBorder="1"/>
    <xf numFmtId="166" fontId="6" fillId="2" borderId="18" xfId="0" applyNumberFormat="1" applyFont="1" applyFill="1" applyBorder="1"/>
    <xf numFmtId="0" fontId="10" fillId="2" borderId="17" xfId="0" applyFont="1" applyFill="1" applyBorder="1" applyAlignment="1">
      <alignment horizontal="left" wrapText="1"/>
    </xf>
    <xf numFmtId="0" fontId="5" fillId="2" borderId="15" xfId="0" applyFont="1" applyFill="1" applyBorder="1" applyAlignment="1">
      <alignment horizontal="left" wrapText="1"/>
    </xf>
    <xf numFmtId="0" fontId="7" fillId="2" borderId="16" xfId="0" applyFont="1" applyFill="1" applyBorder="1" applyAlignment="1">
      <alignment horizontal="right"/>
    </xf>
    <xf numFmtId="10" fontId="6" fillId="2" borderId="18" xfId="0" applyNumberFormat="1" applyFont="1" applyFill="1" applyBorder="1"/>
    <xf numFmtId="166" fontId="6" fillId="2" borderId="21" xfId="0" applyNumberFormat="1" applyFont="1" applyFill="1" applyBorder="1"/>
    <xf numFmtId="9" fontId="6" fillId="2" borderId="16" xfId="0" applyNumberFormat="1" applyFont="1" applyFill="1" applyBorder="1"/>
    <xf numFmtId="0" fontId="8" fillId="2" borderId="17" xfId="0" applyFont="1" applyFill="1" applyBorder="1" applyAlignment="1">
      <alignment horizontal="left" wrapText="1"/>
    </xf>
    <xf numFmtId="0" fontId="6" fillId="2" borderId="21" xfId="0" applyFont="1" applyFill="1" applyBorder="1"/>
    <xf numFmtId="0" fontId="0" fillId="2" borderId="14" xfId="0" applyFill="1" applyBorder="1"/>
    <xf numFmtId="0" fontId="0" fillId="2" borderId="15" xfId="0" applyFill="1" applyBorder="1"/>
    <xf numFmtId="0" fontId="0" fillId="2" borderId="16" xfId="0" applyFill="1" applyBorder="1"/>
    <xf numFmtId="0" fontId="0" fillId="2" borderId="0" xfId="0" applyFill="1" applyBorder="1" applyAlignment="1">
      <alignment horizontal="center"/>
    </xf>
    <xf numFmtId="0" fontId="0" fillId="2" borderId="18" xfId="0" applyFill="1" applyBorder="1" applyAlignment="1">
      <alignment horizontal="center"/>
    </xf>
    <xf numFmtId="164" fontId="6" fillId="2" borderId="0" xfId="0" applyNumberFormat="1" applyFont="1" applyFill="1" applyBorder="1"/>
    <xf numFmtId="168" fontId="6" fillId="2" borderId="20" xfId="0" applyNumberFormat="1" applyFont="1" applyFill="1" applyBorder="1"/>
    <xf numFmtId="168" fontId="6" fillId="2" borderId="21" xfId="0" applyNumberFormat="1" applyFont="1" applyFill="1" applyBorder="1"/>
    <xf numFmtId="0" fontId="10" fillId="2" borderId="14" xfId="0" applyFont="1" applyFill="1" applyBorder="1" applyAlignment="1">
      <alignment horizontal="left" wrapText="1"/>
    </xf>
    <xf numFmtId="0" fontId="10" fillId="2" borderId="15" xfId="0" applyFont="1" applyFill="1" applyBorder="1" applyAlignment="1">
      <alignment horizontal="center" wrapText="1"/>
    </xf>
    <xf numFmtId="0" fontId="10" fillId="2" borderId="16" xfId="0" applyFont="1" applyFill="1" applyBorder="1" applyAlignment="1">
      <alignment horizontal="center" wrapText="1"/>
    </xf>
    <xf numFmtId="165" fontId="6" fillId="2" borderId="0" xfId="1" applyNumberFormat="1" applyFont="1" applyFill="1" applyBorder="1" applyAlignment="1">
      <alignment horizontal="center"/>
    </xf>
    <xf numFmtId="165" fontId="6" fillId="2" borderId="18" xfId="1" applyNumberFormat="1" applyFont="1" applyFill="1" applyBorder="1" applyAlignment="1">
      <alignment horizontal="center"/>
    </xf>
    <xf numFmtId="165" fontId="6" fillId="2" borderId="20" xfId="1" applyNumberFormat="1" applyFont="1" applyFill="1" applyBorder="1" applyAlignment="1">
      <alignment horizontal="center"/>
    </xf>
    <xf numFmtId="165" fontId="6" fillId="2" borderId="21" xfId="1" applyNumberFormat="1" applyFont="1" applyFill="1" applyBorder="1" applyAlignment="1">
      <alignment horizontal="center"/>
    </xf>
    <xf numFmtId="0" fontId="0" fillId="2" borderId="19" xfId="0" applyFill="1" applyBorder="1"/>
    <xf numFmtId="165" fontId="15" fillId="2" borderId="20" xfId="1" applyNumberFormat="1" applyFont="1" applyFill="1" applyBorder="1" applyAlignment="1">
      <alignment horizontal="center"/>
    </xf>
    <xf numFmtId="165" fontId="15" fillId="2" borderId="21" xfId="1" applyNumberFormat="1" applyFont="1" applyFill="1" applyBorder="1" applyAlignment="1">
      <alignment horizontal="center"/>
    </xf>
    <xf numFmtId="0" fontId="4" fillId="2" borderId="14" xfId="0" applyFont="1" applyFill="1" applyBorder="1" applyAlignment="1">
      <alignment horizontal="left" wrapText="1"/>
    </xf>
    <xf numFmtId="165" fontId="6" fillId="2" borderId="15" xfId="1" applyNumberFormat="1" applyFont="1" applyFill="1" applyBorder="1" applyAlignment="1">
      <alignment horizontal="center"/>
    </xf>
    <xf numFmtId="165" fontId="6" fillId="2" borderId="16" xfId="1" applyNumberFormat="1" applyFont="1" applyFill="1" applyBorder="1" applyAlignment="1">
      <alignment horizontal="center"/>
    </xf>
    <xf numFmtId="10" fontId="31" fillId="0" borderId="13" xfId="2" applyNumberFormat="1" applyFont="1" applyFill="1" applyBorder="1" applyAlignment="1">
      <alignment horizontal="center"/>
    </xf>
    <xf numFmtId="10" fontId="29" fillId="0" borderId="22" xfId="3" applyNumberFormat="1" applyFont="1" applyBorder="1" applyAlignment="1">
      <alignment horizontal="center" wrapText="1"/>
    </xf>
    <xf numFmtId="0" fontId="0" fillId="2" borderId="5" xfId="0" applyNumberFormat="1" applyFont="1" applyFill="1" applyBorder="1" applyAlignment="1">
      <alignment horizontal="center"/>
    </xf>
    <xf numFmtId="166" fontId="0" fillId="2" borderId="7" xfId="0" applyNumberFormat="1" applyFill="1" applyBorder="1"/>
    <xf numFmtId="0" fontId="25" fillId="0" borderId="13" xfId="0" applyFont="1" applyBorder="1" applyAlignment="1">
      <alignment horizontal="justify"/>
    </xf>
    <xf numFmtId="0" fontId="25" fillId="0" borderId="13" xfId="0" applyFont="1" applyFill="1" applyBorder="1" applyAlignment="1">
      <alignment horizontal="justify"/>
    </xf>
    <xf numFmtId="4" fontId="34" fillId="2" borderId="7" xfId="0" applyNumberFormat="1" applyFont="1" applyFill="1" applyBorder="1"/>
    <xf numFmtId="0" fontId="34" fillId="2" borderId="7" xfId="0" applyFont="1" applyFill="1" applyBorder="1"/>
    <xf numFmtId="0" fontId="35" fillId="2" borderId="7" xfId="0" applyFont="1" applyFill="1" applyBorder="1"/>
    <xf numFmtId="166" fontId="0" fillId="2" borderId="7" xfId="0" applyNumberFormat="1" applyFont="1" applyFill="1" applyBorder="1" applyAlignment="1">
      <alignment horizontal="center"/>
    </xf>
    <xf numFmtId="167" fontId="0" fillId="2" borderId="23" xfId="0" applyNumberFormat="1" applyFont="1" applyFill="1" applyBorder="1" applyAlignment="1">
      <alignment horizontal="center"/>
    </xf>
    <xf numFmtId="10" fontId="0" fillId="7" borderId="24" xfId="0" applyNumberFormat="1" applyFont="1" applyFill="1" applyBorder="1" applyAlignment="1">
      <alignment horizontal="center"/>
    </xf>
    <xf numFmtId="10" fontId="0" fillId="2" borderId="25" xfId="0" applyNumberFormat="1" applyFont="1" applyFill="1" applyBorder="1" applyAlignment="1">
      <alignment horizontal="center"/>
    </xf>
    <xf numFmtId="10" fontId="32" fillId="0" borderId="13" xfId="3" applyNumberFormat="1" applyFont="1" applyBorder="1" applyAlignment="1">
      <alignment horizontal="center" vertical="top" wrapText="1"/>
    </xf>
    <xf numFmtId="10" fontId="32" fillId="0" borderId="13" xfId="3" applyNumberFormat="1" applyFont="1" applyBorder="1" applyAlignment="1">
      <alignment horizontal="center"/>
    </xf>
    <xf numFmtId="2" fontId="6" fillId="2" borderId="18" xfId="0" applyNumberFormat="1" applyFont="1" applyFill="1" applyBorder="1"/>
    <xf numFmtId="175" fontId="30" fillId="0" borderId="13" xfId="2" applyNumberFormat="1" applyFont="1" applyFill="1" applyBorder="1" applyAlignment="1">
      <alignment horizontal="center"/>
    </xf>
  </cellXfs>
  <cellStyles count="6">
    <cellStyle name="Comma 2" xfId="2"/>
    <cellStyle name="Kablelis" xfId="1" builtinId="3"/>
    <cellStyle name="Normal 2" xfId="3"/>
    <cellStyle name="Paprastas" xfId="0" builtinId="0"/>
    <cellStyle name="Percent 2" xfId="5"/>
    <cellStyle name="Procentinė reikšmė" xfId="4"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lang val="lt-LT"/>
  <c:chart>
    <c:title>
      <c:tx>
        <c:rich>
          <a:bodyPr/>
          <a:lstStyle/>
          <a:p>
            <a:pPr>
              <a:defRPr sz="1400" b="1" i="0" u="none" strike="noStrike" baseline="0">
                <a:solidFill>
                  <a:srgbClr val="000000"/>
                </a:solidFill>
                <a:latin typeface="Times New Roman"/>
                <a:ea typeface="Times New Roman"/>
                <a:cs typeface="Times New Roman"/>
              </a:defRPr>
            </a:pPr>
            <a:r>
              <a:rPr lang="lt-LT"/>
              <a:t>Project IRR</a:t>
            </a:r>
          </a:p>
        </c:rich>
      </c:tx>
      <c:layout>
        <c:manualLayout>
          <c:xMode val="edge"/>
          <c:yMode val="edge"/>
          <c:x val="0.42730582919559301"/>
          <c:y val="3.7288096340898566E-2"/>
        </c:manualLayout>
      </c:layout>
      <c:spPr>
        <a:noFill/>
        <a:ln w="25400">
          <a:noFill/>
        </a:ln>
      </c:spPr>
    </c:title>
    <c:plotArea>
      <c:layout>
        <c:manualLayout>
          <c:layoutTarget val="inner"/>
          <c:xMode val="edge"/>
          <c:yMode val="edge"/>
          <c:x val="3.1746076482002616E-2"/>
          <c:y val="0.19362791443568667"/>
          <c:w val="0.93073724231325861"/>
          <c:h val="0.51470711432271155"/>
        </c:manualLayout>
      </c:layout>
      <c:lineChart>
        <c:grouping val="standard"/>
        <c:ser>
          <c:idx val="0"/>
          <c:order val="0"/>
          <c:tx>
            <c:strRef>
              <c:f>Sensit!$D$22</c:f>
              <c:strCache>
                <c:ptCount val="1"/>
                <c:pt idx="0">
                  <c:v>Energy tariff variation</c:v>
                </c:pt>
              </c:strCache>
            </c:strRef>
          </c:tx>
          <c:spPr>
            <a:ln w="38100">
              <a:solidFill>
                <a:srgbClr val="000080"/>
              </a:solidFill>
              <a:prstDash val="solid"/>
            </a:ln>
          </c:spPr>
          <c:marker>
            <c:symbol val="diamond"/>
            <c:size val="5"/>
            <c:spPr>
              <a:solidFill>
                <a:srgbClr val="000080"/>
              </a:solidFill>
              <a:ln>
                <a:solidFill>
                  <a:srgbClr val="000080"/>
                </a:solidFill>
                <a:prstDash val="solid"/>
              </a:ln>
            </c:spPr>
          </c:marker>
          <c:cat>
            <c:numRef>
              <c:f>Sensit!$E$21:$I$21</c:f>
              <c:numCache>
                <c:formatCode>0%</c:formatCode>
                <c:ptCount val="5"/>
                <c:pt idx="0">
                  <c:v>-0.2</c:v>
                </c:pt>
                <c:pt idx="1">
                  <c:v>-0.1</c:v>
                </c:pt>
                <c:pt idx="2">
                  <c:v>0</c:v>
                </c:pt>
                <c:pt idx="3">
                  <c:v>0.1</c:v>
                </c:pt>
                <c:pt idx="4">
                  <c:v>0.2</c:v>
                </c:pt>
              </c:numCache>
            </c:numRef>
          </c:cat>
          <c:val>
            <c:numRef>
              <c:f>Sensit!$E$22:$I$22</c:f>
              <c:numCache>
                <c:formatCode>0,00%</c:formatCode>
                <c:ptCount val="5"/>
                <c:pt idx="0">
                  <c:v>5.2499999999999998E-2</c:v>
                </c:pt>
                <c:pt idx="1">
                  <c:v>5.6899999999999999E-2</c:v>
                </c:pt>
                <c:pt idx="2">
                  <c:v>6.0699999999999997E-2</c:v>
                </c:pt>
                <c:pt idx="3">
                  <c:v>6.3799999999999996E-2</c:v>
                </c:pt>
                <c:pt idx="4">
                  <c:v>6.6799999999999998E-2</c:v>
                </c:pt>
              </c:numCache>
            </c:numRef>
          </c:val>
        </c:ser>
        <c:ser>
          <c:idx val="1"/>
          <c:order val="1"/>
          <c:tx>
            <c:strRef>
              <c:f>Sensit!$D$23</c:f>
              <c:strCache>
                <c:ptCount val="1"/>
                <c:pt idx="0">
                  <c:v>Annual electricity output</c:v>
                </c:pt>
              </c:strCache>
            </c:strRef>
          </c:tx>
          <c:spPr>
            <a:ln w="38100">
              <a:solidFill>
                <a:srgbClr val="FF00FF"/>
              </a:solidFill>
              <a:prstDash val="solid"/>
            </a:ln>
          </c:spPr>
          <c:marker>
            <c:symbol val="square"/>
            <c:size val="5"/>
            <c:spPr>
              <a:solidFill>
                <a:srgbClr val="FF00FF"/>
              </a:solidFill>
              <a:ln>
                <a:solidFill>
                  <a:srgbClr val="FF00FF"/>
                </a:solidFill>
                <a:prstDash val="solid"/>
              </a:ln>
            </c:spPr>
          </c:marker>
          <c:cat>
            <c:numRef>
              <c:f>Sensit!$E$21:$I$21</c:f>
              <c:numCache>
                <c:formatCode>0%</c:formatCode>
                <c:ptCount val="5"/>
                <c:pt idx="0">
                  <c:v>-0.2</c:v>
                </c:pt>
                <c:pt idx="1">
                  <c:v>-0.1</c:v>
                </c:pt>
                <c:pt idx="2">
                  <c:v>0</c:v>
                </c:pt>
                <c:pt idx="3">
                  <c:v>0.1</c:v>
                </c:pt>
                <c:pt idx="4">
                  <c:v>0.2</c:v>
                </c:pt>
              </c:numCache>
            </c:numRef>
          </c:cat>
          <c:val>
            <c:numRef>
              <c:f>Sensit!$E$23:$I$23</c:f>
              <c:numCache>
                <c:formatCode>0,00%</c:formatCode>
                <c:ptCount val="5"/>
                <c:pt idx="0">
                  <c:v>2.9499999999999998E-2</c:v>
                </c:pt>
                <c:pt idx="1">
                  <c:v>4.5900000000000003E-2</c:v>
                </c:pt>
                <c:pt idx="2">
                  <c:v>6.0699999999999997E-2</c:v>
                </c:pt>
                <c:pt idx="3">
                  <c:v>7.2800000000000004E-2</c:v>
                </c:pt>
                <c:pt idx="4">
                  <c:v>8.4500000000000006E-2</c:v>
                </c:pt>
              </c:numCache>
            </c:numRef>
          </c:val>
        </c:ser>
        <c:ser>
          <c:idx val="2"/>
          <c:order val="2"/>
          <c:tx>
            <c:strRef>
              <c:f>Sensit!$D$24</c:f>
              <c:strCache>
                <c:ptCount val="1"/>
                <c:pt idx="0">
                  <c:v>ERUs sale price</c:v>
                </c:pt>
              </c:strCache>
            </c:strRef>
          </c:tx>
          <c:spPr>
            <a:ln w="38100">
              <a:solidFill>
                <a:srgbClr val="00FF00"/>
              </a:solidFill>
              <a:prstDash val="solid"/>
            </a:ln>
          </c:spPr>
          <c:marker>
            <c:symbol val="triangle"/>
            <c:size val="5"/>
            <c:spPr>
              <a:solidFill>
                <a:srgbClr val="00FF00"/>
              </a:solidFill>
              <a:ln>
                <a:solidFill>
                  <a:srgbClr val="00FF00"/>
                </a:solidFill>
                <a:prstDash val="solid"/>
              </a:ln>
            </c:spPr>
          </c:marker>
          <c:cat>
            <c:numRef>
              <c:f>Sensit!$E$21:$I$21</c:f>
              <c:numCache>
                <c:formatCode>0%</c:formatCode>
                <c:ptCount val="5"/>
                <c:pt idx="0">
                  <c:v>-0.2</c:v>
                </c:pt>
                <c:pt idx="1">
                  <c:v>-0.1</c:v>
                </c:pt>
                <c:pt idx="2">
                  <c:v>0</c:v>
                </c:pt>
                <c:pt idx="3">
                  <c:v>0.1</c:v>
                </c:pt>
                <c:pt idx="4">
                  <c:v>0.2</c:v>
                </c:pt>
              </c:numCache>
            </c:numRef>
          </c:cat>
          <c:val>
            <c:numRef>
              <c:f>Sensit!$E$24:$I$24</c:f>
              <c:numCache>
                <c:formatCode>0,00%</c:formatCode>
                <c:ptCount val="5"/>
                <c:pt idx="0">
                  <c:v>6.0299999999999999E-2</c:v>
                </c:pt>
                <c:pt idx="1">
                  <c:v>6.0499999999999998E-2</c:v>
                </c:pt>
                <c:pt idx="2">
                  <c:v>6.0699999999999997E-2</c:v>
                </c:pt>
                <c:pt idx="3">
                  <c:v>6.0900000000000003E-2</c:v>
                </c:pt>
                <c:pt idx="4">
                  <c:v>6.1100000000000002E-2</c:v>
                </c:pt>
              </c:numCache>
            </c:numRef>
          </c:val>
        </c:ser>
        <c:ser>
          <c:idx val="3"/>
          <c:order val="3"/>
          <c:tx>
            <c:strRef>
              <c:f>Sensit!$D$25</c:f>
              <c:strCache>
                <c:ptCount val="1"/>
                <c:pt idx="0">
                  <c:v>Benchmark</c:v>
                </c:pt>
              </c:strCache>
            </c:strRef>
          </c:tx>
          <c:spPr>
            <a:ln w="38100">
              <a:solidFill>
                <a:srgbClr val="00FFFF"/>
              </a:solidFill>
              <a:prstDash val="solid"/>
            </a:ln>
          </c:spPr>
          <c:marker>
            <c:symbol val="x"/>
            <c:size val="5"/>
            <c:spPr>
              <a:noFill/>
              <a:ln>
                <a:solidFill>
                  <a:srgbClr val="00FFFF"/>
                </a:solidFill>
                <a:prstDash val="solid"/>
              </a:ln>
            </c:spPr>
          </c:marker>
          <c:cat>
            <c:numRef>
              <c:f>Sensit!$E$21:$I$21</c:f>
              <c:numCache>
                <c:formatCode>0%</c:formatCode>
                <c:ptCount val="5"/>
                <c:pt idx="0">
                  <c:v>-0.2</c:v>
                </c:pt>
                <c:pt idx="1">
                  <c:v>-0.1</c:v>
                </c:pt>
                <c:pt idx="2">
                  <c:v>0</c:v>
                </c:pt>
                <c:pt idx="3">
                  <c:v>0.1</c:v>
                </c:pt>
                <c:pt idx="4">
                  <c:v>0.2</c:v>
                </c:pt>
              </c:numCache>
            </c:numRef>
          </c:cat>
          <c:val>
            <c:numRef>
              <c:f>Sensit!$E$25:$I$25</c:f>
              <c:numCache>
                <c:formatCode>0,00%</c:formatCode>
                <c:ptCount val="5"/>
                <c:pt idx="0">
                  <c:v>7.7700000000000005E-2</c:v>
                </c:pt>
                <c:pt idx="1">
                  <c:v>7.7700000000000005E-2</c:v>
                </c:pt>
                <c:pt idx="2">
                  <c:v>7.7700000000000005E-2</c:v>
                </c:pt>
                <c:pt idx="3">
                  <c:v>7.7700000000000005E-2</c:v>
                </c:pt>
                <c:pt idx="4">
                  <c:v>7.7700000000000005E-2</c:v>
                </c:pt>
              </c:numCache>
            </c:numRef>
          </c:val>
        </c:ser>
        <c:marker val="1"/>
        <c:axId val="93934720"/>
        <c:axId val="93936640"/>
      </c:lineChart>
      <c:catAx>
        <c:axId val="93934720"/>
        <c:scaling>
          <c:orientation val="minMax"/>
        </c:scaling>
        <c:axPos val="b"/>
        <c:numFmt formatCode="0%" sourceLinked="1"/>
        <c:majorTickMark val="cross"/>
        <c:minorTickMark val="cross"/>
        <c:tickLblPos val="nextTo"/>
        <c:spPr>
          <a:ln w="3175">
            <a:solidFill>
              <a:srgbClr val="000000"/>
            </a:solidFill>
            <a:prstDash val="solid"/>
          </a:ln>
        </c:spPr>
        <c:txPr>
          <a:bodyPr rot="0" vert="horz"/>
          <a:lstStyle/>
          <a:p>
            <a:pPr>
              <a:defRPr sz="1400" b="0" i="0" u="none" strike="noStrike" baseline="0">
                <a:solidFill>
                  <a:srgbClr val="000000"/>
                </a:solidFill>
                <a:latin typeface="Times New Roman"/>
                <a:ea typeface="Times New Roman"/>
                <a:cs typeface="Times New Roman"/>
              </a:defRPr>
            </a:pPr>
            <a:endParaRPr lang="lt-LT"/>
          </a:p>
        </c:txPr>
        <c:crossAx val="93936640"/>
        <c:crossesAt val="0"/>
        <c:auto val="1"/>
        <c:lblAlgn val="ctr"/>
        <c:lblOffset val="100"/>
        <c:tickLblSkip val="1"/>
        <c:tickMarkSkip val="1"/>
      </c:catAx>
      <c:valAx>
        <c:axId val="93936640"/>
        <c:scaling>
          <c:orientation val="minMax"/>
          <c:max val="9.0000000000000024E-2"/>
          <c:min val="0"/>
        </c:scaling>
        <c:axPos val="l"/>
        <c:majorGridlines>
          <c:spPr>
            <a:ln w="3175">
              <a:solidFill>
                <a:srgbClr val="000000"/>
              </a:solidFill>
              <a:prstDash val="solid"/>
            </a:ln>
          </c:spPr>
        </c:majorGridlines>
        <c:numFmt formatCode="#.#00%" sourceLinked="0"/>
        <c:tickLblPos val="nextTo"/>
        <c:spPr>
          <a:ln w="3175">
            <a:solidFill>
              <a:srgbClr val="000000"/>
            </a:solidFill>
            <a:prstDash val="solid"/>
          </a:ln>
        </c:spPr>
        <c:txPr>
          <a:bodyPr rot="0" vert="horz"/>
          <a:lstStyle/>
          <a:p>
            <a:pPr>
              <a:defRPr sz="1400" b="0" i="0" u="none" strike="noStrike" baseline="0">
                <a:solidFill>
                  <a:srgbClr val="000000"/>
                </a:solidFill>
                <a:latin typeface="Times New Roman"/>
                <a:ea typeface="Times New Roman"/>
                <a:cs typeface="Times New Roman"/>
              </a:defRPr>
            </a:pPr>
            <a:endParaRPr lang="lt-LT"/>
          </a:p>
        </c:txPr>
        <c:crossAx val="93934720"/>
        <c:crosses val="autoZero"/>
        <c:crossBetween val="midCat"/>
        <c:majorUnit val="1.0000000000000005E-2"/>
      </c:valAx>
      <c:spPr>
        <a:noFill/>
        <a:ln w="12700">
          <a:solidFill>
            <a:srgbClr val="808080"/>
          </a:solidFill>
          <a:prstDash val="solid"/>
        </a:ln>
      </c:spPr>
    </c:plotArea>
    <c:legend>
      <c:legendPos val="r"/>
      <c:layout>
        <c:manualLayout>
          <c:xMode val="edge"/>
          <c:yMode val="edge"/>
          <c:x val="7.2150173822733239E-3"/>
          <c:y val="0.8578451905378528"/>
          <c:w val="0.96392632227171582"/>
          <c:h val="8.8235505312464893E-2"/>
        </c:manualLayout>
      </c:layout>
      <c:spPr>
        <a:solidFill>
          <a:srgbClr val="FFFFFF"/>
        </a:solidFill>
        <a:ln w="3175">
          <a:solidFill>
            <a:srgbClr val="000000"/>
          </a:solidFill>
          <a:prstDash val="solid"/>
        </a:ln>
      </c:spPr>
      <c:txPr>
        <a:bodyPr/>
        <a:lstStyle/>
        <a:p>
          <a:pPr>
            <a:defRPr sz="1285" b="0" i="0" u="none" strike="noStrike" baseline="0">
              <a:solidFill>
                <a:srgbClr val="000000"/>
              </a:solidFill>
              <a:latin typeface="Times New Roman"/>
              <a:ea typeface="Times New Roman"/>
              <a:cs typeface="Times New Roman"/>
            </a:defRPr>
          </a:pPr>
          <a:endParaRPr lang="lt-LT"/>
        </a:p>
      </c:txPr>
    </c:legend>
    <c:plotVisOnly val="1"/>
    <c:dispBlanksAs val="gap"/>
  </c:chart>
  <c:spPr>
    <a:solidFill>
      <a:srgbClr val="FFFFFF"/>
    </a:solidFill>
    <a:ln w="3175">
      <a:solidFill>
        <a:srgbClr val="000000"/>
      </a:solidFill>
      <a:prstDash val="solid"/>
    </a:ln>
  </c:spPr>
  <c:txPr>
    <a:bodyPr/>
    <a:lstStyle/>
    <a:p>
      <a:pPr>
        <a:defRPr sz="1400" b="0" i="0" u="none" strike="noStrike" baseline="0">
          <a:solidFill>
            <a:srgbClr val="000000"/>
          </a:solidFill>
          <a:latin typeface="Times New Roman"/>
          <a:ea typeface="Times New Roman"/>
          <a:cs typeface="Times New Roman"/>
        </a:defRPr>
      </a:pPr>
      <a:endParaRPr lang="lt-LT"/>
    </a:p>
  </c:txPr>
  <c:printSettings>
    <c:headerFooter alignWithMargins="0"/>
    <c:pageMargins b="1" l="0.75000000000000233" r="0.75000000000000233"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200025</xdr:colOff>
      <xdr:row>26</xdr:row>
      <xdr:rowOff>142875</xdr:rowOff>
    </xdr:from>
    <xdr:to>
      <xdr:col>10</xdr:col>
      <xdr:colOff>171450</xdr:colOff>
      <xdr:row>50</xdr:row>
      <xdr:rowOff>142875</xdr:rowOff>
    </xdr:to>
    <xdr:graphicFrame macro="">
      <xdr:nvGraphicFramePr>
        <xdr:cNvPr id="307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OMASP~1/AppData/Local/Temp/Gemba%20skai&#269;iavimai%20LTL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itial data"/>
      <sheetName val="Model"/>
      <sheetName val="Model1"/>
      <sheetName val="Expenses"/>
      <sheetName val="Assump"/>
      <sheetName val="Sensit"/>
    </sheetNames>
    <sheetDataSet>
      <sheetData sheetId="0" refreshError="1"/>
      <sheetData sheetId="1" refreshError="1"/>
      <sheetData sheetId="2" refreshError="1"/>
      <sheetData sheetId="3" refreshError="1"/>
      <sheetData sheetId="4">
        <row r="1">
          <cell r="A1" t="str">
            <v>Assumptions used for Seirijai wind power park project calculations</v>
          </cell>
        </row>
      </sheetData>
      <sheetData sheetId="5" refreshError="1"/>
    </sheetDataSet>
  </externalBook>
</externalLink>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codeName="Sheet1"/>
  <dimension ref="A2:G68"/>
  <sheetViews>
    <sheetView tabSelected="1" zoomScale="80" zoomScaleNormal="80" workbookViewId="0">
      <selection activeCell="C17" sqref="C17"/>
    </sheetView>
  </sheetViews>
  <sheetFormatPr defaultColWidth="23.7109375" defaultRowHeight="15"/>
  <cols>
    <col min="1" max="1" width="32" style="1" bestFit="1" customWidth="1"/>
    <col min="2" max="2" width="14.5703125" style="1" bestFit="1" customWidth="1"/>
    <col min="3" max="3" width="17.5703125" style="1" customWidth="1"/>
    <col min="4" max="4" width="10.85546875" style="1" bestFit="1" customWidth="1"/>
    <col min="5" max="5" width="23.7109375" style="1"/>
    <col min="6" max="6" width="33" style="1" bestFit="1" customWidth="1"/>
    <col min="7" max="16384" width="23.7109375" style="1"/>
  </cols>
  <sheetData>
    <row r="2" spans="1:3" ht="15.75" thickBot="1">
      <c r="A2" s="3"/>
      <c r="B2" s="4"/>
      <c r="C2" s="5"/>
    </row>
    <row r="3" spans="1:3" ht="15.75" thickTop="1">
      <c r="A3" s="121" t="s">
        <v>134</v>
      </c>
      <c r="B3" s="122"/>
      <c r="C3" s="123"/>
    </row>
    <row r="4" spans="1:3">
      <c r="A4" s="124" t="s">
        <v>135</v>
      </c>
      <c r="B4" s="5" t="s">
        <v>2</v>
      </c>
      <c r="C4" s="183">
        <f>300/3.4528</f>
        <v>86.886005560704362</v>
      </c>
    </row>
    <row r="5" spans="1:3">
      <c r="A5" s="126" t="s">
        <v>136</v>
      </c>
      <c r="B5" s="5" t="s">
        <v>3</v>
      </c>
      <c r="C5" s="183">
        <f>160.27/eur</f>
        <v>46.417400370713629</v>
      </c>
    </row>
    <row r="6" spans="1:3">
      <c r="A6" s="126" t="s">
        <v>137</v>
      </c>
      <c r="B6" s="127" t="s">
        <v>170</v>
      </c>
      <c r="C6" s="128">
        <v>2020</v>
      </c>
    </row>
    <row r="7" spans="1:3">
      <c r="A7" s="124"/>
      <c r="B7" s="5"/>
      <c r="C7" s="125"/>
    </row>
    <row r="8" spans="1:3" ht="15.75" thickBot="1">
      <c r="A8" s="129" t="s">
        <v>138</v>
      </c>
      <c r="B8" s="130"/>
      <c r="C8" s="131">
        <v>40575</v>
      </c>
    </row>
    <row r="9" spans="1:3" ht="16.5" thickTop="1" thickBot="1">
      <c r="A9" s="7"/>
      <c r="B9" s="8"/>
      <c r="C9" s="6"/>
    </row>
    <row r="10" spans="1:3" ht="15.75" thickTop="1">
      <c r="A10" s="121" t="s">
        <v>139</v>
      </c>
      <c r="B10" s="122"/>
      <c r="C10" s="123"/>
    </row>
    <row r="11" spans="1:3">
      <c r="A11" s="132" t="s">
        <v>140</v>
      </c>
      <c r="B11" s="127" t="s">
        <v>170</v>
      </c>
      <c r="C11" s="133">
        <v>20</v>
      </c>
    </row>
    <row r="12" spans="1:3">
      <c r="A12" s="132" t="s">
        <v>141</v>
      </c>
      <c r="B12" s="5"/>
      <c r="C12" s="133">
        <v>3</v>
      </c>
    </row>
    <row r="13" spans="1:3">
      <c r="A13" s="124" t="s">
        <v>70</v>
      </c>
      <c r="B13" s="5" t="s">
        <v>6</v>
      </c>
      <c r="C13" s="125">
        <v>6</v>
      </c>
    </row>
    <row r="14" spans="1:3">
      <c r="A14" s="132" t="s">
        <v>142</v>
      </c>
      <c r="B14" s="5" t="s">
        <v>155</v>
      </c>
      <c r="C14" s="134">
        <f>4829900</f>
        <v>4829900</v>
      </c>
    </row>
    <row r="15" spans="1:3">
      <c r="A15" s="135" t="s">
        <v>142</v>
      </c>
      <c r="B15" s="136" t="s">
        <v>174</v>
      </c>
      <c r="C15" s="137">
        <f>+C14/1000*C12</f>
        <v>14489.699999999999</v>
      </c>
    </row>
    <row r="16" spans="1:3">
      <c r="A16" s="124" t="s">
        <v>143</v>
      </c>
      <c r="B16" s="5" t="s">
        <v>4</v>
      </c>
      <c r="C16" s="138">
        <v>0.94</v>
      </c>
    </row>
    <row r="17" spans="1:7" ht="15.75" thickBot="1">
      <c r="A17" s="139" t="s">
        <v>144</v>
      </c>
      <c r="B17" s="136" t="s">
        <v>174</v>
      </c>
      <c r="C17" s="137">
        <f>+C15*C16</f>
        <v>13620.317999999997</v>
      </c>
    </row>
    <row r="18" spans="1:7" ht="16.5" thickTop="1" thickBot="1">
      <c r="A18" s="19" t="s">
        <v>5</v>
      </c>
      <c r="B18" s="20" t="s">
        <v>4</v>
      </c>
      <c r="C18" s="21">
        <f>+C17*1000/(C13*1000*365*24)</f>
        <v>0.25913847031963466</v>
      </c>
    </row>
    <row r="19" spans="1:7" ht="17.25" customHeight="1" thickTop="1">
      <c r="A19" s="2"/>
      <c r="B19" s="4"/>
      <c r="C19" s="6"/>
    </row>
    <row r="20" spans="1:7" ht="15.75" thickBot="1">
      <c r="A20" s="2"/>
      <c r="B20" s="4"/>
      <c r="C20" s="6"/>
    </row>
    <row r="21" spans="1:7" ht="15.75" thickTop="1">
      <c r="A21" s="121" t="s">
        <v>145</v>
      </c>
      <c r="B21" s="140"/>
      <c r="C21" s="141"/>
    </row>
    <row r="22" spans="1:7">
      <c r="A22" s="124" t="s">
        <v>146</v>
      </c>
      <c r="B22" s="5" t="s">
        <v>4</v>
      </c>
      <c r="C22" s="142">
        <v>1.1390000000000001E-2</v>
      </c>
    </row>
    <row r="23" spans="1:7">
      <c r="A23" s="124" t="s">
        <v>147</v>
      </c>
      <c r="B23" s="5" t="s">
        <v>4</v>
      </c>
      <c r="C23" s="142">
        <v>2.8500000000000001E-2</v>
      </c>
      <c r="G23" s="16"/>
    </row>
    <row r="24" spans="1:7">
      <c r="A24" s="124" t="s">
        <v>148</v>
      </c>
      <c r="B24" s="127" t="s">
        <v>170</v>
      </c>
      <c r="C24" s="133">
        <v>10</v>
      </c>
      <c r="G24" s="16"/>
    </row>
    <row r="25" spans="1:7" ht="15.75" thickBot="1">
      <c r="A25" s="129"/>
      <c r="B25" s="130"/>
      <c r="C25" s="143"/>
    </row>
    <row r="26" spans="1:7" ht="15.75" thickTop="1">
      <c r="A26" s="2"/>
      <c r="B26" s="4"/>
      <c r="C26" s="9"/>
    </row>
    <row r="27" spans="1:7" ht="15.75" thickBot="1">
      <c r="A27" s="2"/>
      <c r="B27" s="4"/>
      <c r="C27" s="10"/>
    </row>
    <row r="28" spans="1:7" ht="15.75" thickTop="1">
      <c r="A28" s="121" t="s">
        <v>7</v>
      </c>
      <c r="B28" s="122"/>
      <c r="C28" s="144"/>
    </row>
    <row r="29" spans="1:7">
      <c r="A29" s="145" t="s">
        <v>149</v>
      </c>
      <c r="B29" s="5"/>
      <c r="C29" s="133"/>
    </row>
    <row r="30" spans="1:7">
      <c r="A30" s="124" t="s">
        <v>150</v>
      </c>
      <c r="B30" s="5" t="s">
        <v>8</v>
      </c>
      <c r="C30" s="133">
        <v>0.626</v>
      </c>
    </row>
    <row r="31" spans="1:7">
      <c r="A31" s="124" t="s">
        <v>151</v>
      </c>
      <c r="B31" s="5" t="s">
        <v>9</v>
      </c>
      <c r="C31" s="133">
        <f>11</f>
        <v>11</v>
      </c>
    </row>
    <row r="32" spans="1:7" ht="15.75" thickBot="1">
      <c r="A32" s="129" t="s">
        <v>152</v>
      </c>
      <c r="B32" s="130" t="s">
        <v>170</v>
      </c>
      <c r="C32" s="146">
        <v>2012</v>
      </c>
    </row>
    <row r="33" spans="1:5" ht="16.5" thickTop="1" thickBot="1">
      <c r="A33" s="2"/>
      <c r="B33" s="4"/>
    </row>
    <row r="34" spans="1:5" ht="15.75" thickTop="1">
      <c r="A34" s="147"/>
      <c r="B34" s="148"/>
      <c r="C34" s="148"/>
      <c r="D34" s="149"/>
    </row>
    <row r="35" spans="1:5">
      <c r="A35" s="135" t="s">
        <v>0</v>
      </c>
      <c r="B35" s="5"/>
      <c r="C35" s="150" t="s">
        <v>39</v>
      </c>
      <c r="D35" s="151" t="s">
        <v>40</v>
      </c>
    </row>
    <row r="36" spans="1:5">
      <c r="A36" s="124" t="s">
        <v>153</v>
      </c>
      <c r="B36" s="5" t="s">
        <v>156</v>
      </c>
      <c r="C36" s="152">
        <v>22.5</v>
      </c>
      <c r="D36" s="125">
        <v>45</v>
      </c>
    </row>
    <row r="37" spans="1:5" ht="15.75" thickBot="1">
      <c r="A37" s="129" t="s">
        <v>154</v>
      </c>
      <c r="B37" s="130" t="s">
        <v>1</v>
      </c>
      <c r="C37" s="153">
        <v>5.4999999999999997E-3</v>
      </c>
      <c r="D37" s="154">
        <v>1.15E-2</v>
      </c>
    </row>
    <row r="38" spans="1:5" ht="16.5" thickTop="1" thickBot="1"/>
    <row r="39" spans="1:5" ht="15.75" thickTop="1">
      <c r="A39" s="155" t="s">
        <v>77</v>
      </c>
      <c r="B39" s="156" t="s">
        <v>166</v>
      </c>
      <c r="C39" s="157" t="s">
        <v>169</v>
      </c>
    </row>
    <row r="40" spans="1:5">
      <c r="A40" s="124" t="s">
        <v>157</v>
      </c>
      <c r="B40" s="158">
        <v>50452.313600000001</v>
      </c>
      <c r="C40" s="159">
        <f>+B40/eur</f>
        <v>14612.000000000002</v>
      </c>
    </row>
    <row r="41" spans="1:5">
      <c r="A41" s="124" t="s">
        <v>165</v>
      </c>
      <c r="B41" s="158">
        <v>2400</v>
      </c>
      <c r="C41" s="159">
        <f>+B41/eur</f>
        <v>695.0880444856349</v>
      </c>
    </row>
    <row r="42" spans="1:5">
      <c r="A42" s="124" t="s">
        <v>162</v>
      </c>
      <c r="B42" s="158">
        <v>30000</v>
      </c>
      <c r="C42" s="159">
        <f>+B42/eur</f>
        <v>8688.6005560704361</v>
      </c>
    </row>
    <row r="43" spans="1:5">
      <c r="A43" s="124" t="s">
        <v>163</v>
      </c>
      <c r="B43" s="158">
        <v>41600</v>
      </c>
      <c r="C43" s="159">
        <f>+B43/eur</f>
        <v>12048.192771084337</v>
      </c>
    </row>
    <row r="44" spans="1:5">
      <c r="A44" s="124" t="s">
        <v>161</v>
      </c>
      <c r="B44" s="158">
        <f>1500*12</f>
        <v>18000</v>
      </c>
      <c r="C44" s="159">
        <f>+B44/eur</f>
        <v>5213.1603336422613</v>
      </c>
      <c r="E44" s="83"/>
    </row>
    <row r="45" spans="1:5">
      <c r="A45" s="124"/>
      <c r="B45" s="158"/>
      <c r="C45" s="159"/>
      <c r="E45" s="83"/>
    </row>
    <row r="46" spans="1:5" ht="15.75" thickBot="1">
      <c r="A46" s="129" t="s">
        <v>164</v>
      </c>
      <c r="B46" s="160"/>
      <c r="C46" s="161">
        <f>63000/pvm/1000/eur</f>
        <v>15.07938939483299</v>
      </c>
      <c r="E46" s="83"/>
    </row>
    <row r="47" spans="1:5" ht="15.75" thickTop="1">
      <c r="A47" s="2"/>
      <c r="B47" s="44"/>
      <c r="C47" s="44"/>
    </row>
    <row r="48" spans="1:5" ht="15.75" thickBot="1">
      <c r="A48" s="2"/>
      <c r="B48" s="44"/>
      <c r="C48" s="44"/>
    </row>
    <row r="49" spans="1:5" ht="15.75" thickTop="1">
      <c r="A49" s="155" t="s">
        <v>158</v>
      </c>
      <c r="B49" s="156" t="s">
        <v>166</v>
      </c>
      <c r="C49" s="157" t="s">
        <v>169</v>
      </c>
    </row>
    <row r="50" spans="1:5">
      <c r="A50" s="124" t="s">
        <v>159</v>
      </c>
      <c r="B50" s="158">
        <v>550000</v>
      </c>
      <c r="C50" s="159">
        <f>+ROUND(B50/1000/eur,0)</f>
        <v>159</v>
      </c>
    </row>
    <row r="51" spans="1:5">
      <c r="A51" s="124" t="s">
        <v>167</v>
      </c>
      <c r="B51" s="158">
        <v>563796.4</v>
      </c>
      <c r="C51" s="159">
        <f>+ROUND(B51/1000/eur,0)</f>
        <v>163</v>
      </c>
    </row>
    <row r="52" spans="1:5">
      <c r="A52" s="124" t="s">
        <v>160</v>
      </c>
      <c r="B52" s="158">
        <v>259100</v>
      </c>
      <c r="C52" s="159">
        <f>+ROUND(B52/1000/eur,0)</f>
        <v>75</v>
      </c>
    </row>
    <row r="53" spans="1:5">
      <c r="A53" s="124" t="s">
        <v>10</v>
      </c>
      <c r="B53" s="158">
        <v>27898624</v>
      </c>
      <c r="C53" s="159">
        <f>+ROUND(B53/1000/eur,0)</f>
        <v>8080</v>
      </c>
      <c r="D53" s="55"/>
    </row>
    <row r="54" spans="1:5">
      <c r="A54" s="124" t="s">
        <v>161</v>
      </c>
      <c r="B54" s="158">
        <v>116255.74</v>
      </c>
      <c r="C54" s="159">
        <f>+ROUND(B54/1000/eur,0)</f>
        <v>34</v>
      </c>
    </row>
    <row r="55" spans="1:5" ht="15.75" thickBot="1">
      <c r="A55" s="162"/>
      <c r="B55" s="163">
        <f>SUM(B50:B54)</f>
        <v>29387776.139999997</v>
      </c>
      <c r="C55" s="164">
        <f>SUM(C50:C54)</f>
        <v>8511</v>
      </c>
    </row>
    <row r="56" spans="1:5" ht="16.5" thickTop="1" thickBot="1"/>
    <row r="57" spans="1:5" ht="15.75" thickTop="1">
      <c r="A57" s="165" t="s">
        <v>171</v>
      </c>
      <c r="B57" s="166"/>
      <c r="C57" s="167">
        <f>2319.50695088044</f>
        <v>2319.5069508804399</v>
      </c>
    </row>
    <row r="58" spans="1:5">
      <c r="A58" s="124" t="s">
        <v>168</v>
      </c>
      <c r="B58" s="158"/>
      <c r="C58" s="142">
        <v>0.05</v>
      </c>
      <c r="E58" s="83"/>
    </row>
    <row r="59" spans="1:5" ht="15.75" thickBot="1">
      <c r="A59" s="129" t="s">
        <v>111</v>
      </c>
      <c r="B59" s="160"/>
      <c r="C59" s="161">
        <f>+'Additional data'!C5</f>
        <v>10262.475629999999</v>
      </c>
    </row>
    <row r="60" spans="1:5" ht="15.75" thickTop="1">
      <c r="C60" s="66"/>
    </row>
    <row r="65" spans="2:2">
      <c r="B65" s="83"/>
    </row>
    <row r="68" spans="2:2">
      <c r="B68" s="83"/>
    </row>
  </sheetData>
  <phoneticPr fontId="36" type="noConversion"/>
  <pageMargins left="0.7" right="0.7" top="0.75" bottom="0.75" header="0.3" footer="0.3"/>
  <pageSetup paperSize="9" orientation="portrait" verticalDpi="0" r:id="rId1"/>
  <legacyDrawing r:id="rId2"/>
</worksheet>
</file>

<file path=xl/worksheets/sheet2.xml><?xml version="1.0" encoding="utf-8"?>
<worksheet xmlns="http://schemas.openxmlformats.org/spreadsheetml/2006/main" xmlns:r="http://schemas.openxmlformats.org/officeDocument/2006/relationships">
  <sheetPr codeName="Sheet2">
    <tabColor rgb="FF002060"/>
  </sheetPr>
  <dimension ref="A1:AC88"/>
  <sheetViews>
    <sheetView zoomScale="75" zoomScaleNormal="75" workbookViewId="0">
      <pane xSplit="2" ySplit="3" topLeftCell="N67" activePane="bottomRight" state="frozen"/>
      <selection pane="topRight" activeCell="C1" sqref="C1"/>
      <selection pane="bottomLeft" activeCell="A3" sqref="A3"/>
      <selection pane="bottomRight" activeCell="R10" sqref="R10"/>
    </sheetView>
  </sheetViews>
  <sheetFormatPr defaultRowHeight="15" outlineLevelCol="1"/>
  <cols>
    <col min="1" max="1" width="31.42578125" style="1" bestFit="1" customWidth="1"/>
    <col min="2" max="2" width="8.7109375" style="17" bestFit="1" customWidth="1"/>
    <col min="3" max="4" width="12.140625" style="44" bestFit="1" customWidth="1"/>
    <col min="5" max="5" width="14.42578125" style="44" hidden="1" customWidth="1" outlineLevel="1"/>
    <col min="6" max="6" width="12" style="44" hidden="1" customWidth="1" outlineLevel="1"/>
    <col min="7" max="8" width="9.85546875" style="44" hidden="1" customWidth="1" outlineLevel="1"/>
    <col min="9" max="9" width="9.85546875" style="44" bestFit="1" customWidth="1" collapsed="1"/>
    <col min="10" max="19" width="9.85546875" style="44" bestFit="1" customWidth="1"/>
    <col min="20" max="23" width="9.85546875" style="44" customWidth="1" outlineLevel="1"/>
    <col min="24" max="27" width="9.28515625" style="44" customWidth="1" outlineLevel="1"/>
    <col min="28" max="28" width="9.28515625" style="1" bestFit="1" customWidth="1" outlineLevel="1"/>
    <col min="29" max="29" width="9.85546875" style="1" bestFit="1" customWidth="1"/>
    <col min="30" max="16384" width="9.140625" style="1"/>
  </cols>
  <sheetData>
    <row r="1" spans="1:28">
      <c r="A1" s="1" t="s">
        <v>67</v>
      </c>
      <c r="C1" s="82"/>
      <c r="D1" s="82"/>
      <c r="E1" s="82"/>
      <c r="F1" s="82"/>
      <c r="G1" s="82"/>
      <c r="H1" s="82"/>
    </row>
    <row r="2" spans="1:28" s="42" customFormat="1" ht="15.75" thickBot="1">
      <c r="B2" s="43"/>
      <c r="C2" s="82"/>
      <c r="D2" s="45"/>
      <c r="E2" s="45"/>
      <c r="F2" s="45"/>
      <c r="G2" s="45"/>
      <c r="H2" s="45"/>
      <c r="I2" s="45">
        <v>2</v>
      </c>
      <c r="J2" s="45">
        <v>3</v>
      </c>
      <c r="K2" s="45">
        <v>4</v>
      </c>
      <c r="L2" s="45">
        <v>5</v>
      </c>
      <c r="M2" s="45">
        <v>6</v>
      </c>
      <c r="N2" s="45">
        <v>7</v>
      </c>
      <c r="O2" s="45">
        <v>8</v>
      </c>
      <c r="P2" s="45">
        <v>9</v>
      </c>
      <c r="Q2" s="45">
        <v>10</v>
      </c>
      <c r="R2" s="45">
        <v>11</v>
      </c>
      <c r="S2" s="45">
        <v>12</v>
      </c>
      <c r="T2" s="45">
        <v>13</v>
      </c>
      <c r="U2" s="45">
        <v>14</v>
      </c>
      <c r="V2" s="45">
        <v>15</v>
      </c>
      <c r="W2" s="45">
        <v>16</v>
      </c>
      <c r="X2" s="45">
        <v>17</v>
      </c>
      <c r="Y2" s="45">
        <v>18</v>
      </c>
      <c r="Z2" s="45">
        <v>19</v>
      </c>
      <c r="AA2" s="45">
        <v>20</v>
      </c>
    </row>
    <row r="3" spans="1:28" s="11" customFormat="1">
      <c r="A3" s="33" t="s">
        <v>68</v>
      </c>
      <c r="B3" s="33"/>
      <c r="C3" s="46">
        <v>2010</v>
      </c>
      <c r="D3" s="46">
        <v>2011</v>
      </c>
      <c r="E3" s="46" t="s">
        <v>14</v>
      </c>
      <c r="F3" s="46" t="s">
        <v>15</v>
      </c>
      <c r="G3" s="46" t="s">
        <v>16</v>
      </c>
      <c r="H3" s="46" t="s">
        <v>17</v>
      </c>
      <c r="I3" s="46">
        <v>2012</v>
      </c>
      <c r="J3" s="46">
        <v>2013</v>
      </c>
      <c r="K3" s="46">
        <v>2014</v>
      </c>
      <c r="L3" s="46">
        <v>2015</v>
      </c>
      <c r="M3" s="46">
        <v>2016</v>
      </c>
      <c r="N3" s="46">
        <v>2017</v>
      </c>
      <c r="O3" s="46">
        <v>2018</v>
      </c>
      <c r="P3" s="46">
        <v>2019</v>
      </c>
      <c r="Q3" s="46">
        <v>2020</v>
      </c>
      <c r="R3" s="46">
        <v>2021</v>
      </c>
      <c r="S3" s="46">
        <v>2022</v>
      </c>
      <c r="T3" s="46">
        <v>2023</v>
      </c>
      <c r="U3" s="46">
        <v>2024</v>
      </c>
      <c r="V3" s="46">
        <v>2025</v>
      </c>
      <c r="W3" s="46">
        <v>2026</v>
      </c>
      <c r="X3" s="46">
        <v>2027</v>
      </c>
      <c r="Y3" s="46">
        <v>2028</v>
      </c>
      <c r="Z3" s="46">
        <v>2029</v>
      </c>
      <c r="AA3" s="46">
        <v>2030</v>
      </c>
      <c r="AB3" s="46">
        <v>2031</v>
      </c>
    </row>
    <row r="4" spans="1:28" s="12" customFormat="1">
      <c r="A4" s="174" t="s">
        <v>69</v>
      </c>
      <c r="B4" s="34"/>
      <c r="C4" s="47"/>
      <c r="D4" s="47">
        <v>1</v>
      </c>
      <c r="E4" s="47">
        <f>+D4</f>
        <v>1</v>
      </c>
      <c r="F4" s="47">
        <f>+E4</f>
        <v>1</v>
      </c>
      <c r="G4" s="47">
        <f>+F4</f>
        <v>1</v>
      </c>
      <c r="H4" s="47">
        <f>+G4</f>
        <v>1</v>
      </c>
      <c r="I4" s="47">
        <f>+D4*1.02</f>
        <v>1.02</v>
      </c>
      <c r="J4" s="47">
        <f>+E4*1.02</f>
        <v>1.02</v>
      </c>
      <c r="K4" s="47">
        <f>+J4*1.02</f>
        <v>1.0404</v>
      </c>
      <c r="L4" s="47">
        <f t="shared" ref="L4:AB4" si="0">+K4*1.02</f>
        <v>1.0612079999999999</v>
      </c>
      <c r="M4" s="47">
        <f t="shared" si="0"/>
        <v>1.08243216</v>
      </c>
      <c r="N4" s="47">
        <f t="shared" si="0"/>
        <v>1.1040808032</v>
      </c>
      <c r="O4" s="47">
        <f t="shared" si="0"/>
        <v>1.1261624192640001</v>
      </c>
      <c r="P4" s="47">
        <f t="shared" si="0"/>
        <v>1.14868566764928</v>
      </c>
      <c r="Q4" s="47">
        <f t="shared" si="0"/>
        <v>1.1716593810022657</v>
      </c>
      <c r="R4" s="47">
        <f t="shared" si="0"/>
        <v>1.1950925686223111</v>
      </c>
      <c r="S4" s="47">
        <f t="shared" si="0"/>
        <v>1.2189944199947573</v>
      </c>
      <c r="T4" s="47">
        <f t="shared" si="0"/>
        <v>1.2433743083946525</v>
      </c>
      <c r="U4" s="47">
        <f t="shared" si="0"/>
        <v>1.2682417945625455</v>
      </c>
      <c r="V4" s="47">
        <f t="shared" si="0"/>
        <v>1.2936066304537963</v>
      </c>
      <c r="W4" s="47">
        <f t="shared" si="0"/>
        <v>1.3194787630628724</v>
      </c>
      <c r="X4" s="47">
        <f t="shared" si="0"/>
        <v>1.3458683383241299</v>
      </c>
      <c r="Y4" s="47">
        <f t="shared" si="0"/>
        <v>1.3727857050906125</v>
      </c>
      <c r="Z4" s="47">
        <f t="shared" si="0"/>
        <v>1.4002414191924248</v>
      </c>
      <c r="AA4" s="47">
        <f t="shared" si="0"/>
        <v>1.4282462475762734</v>
      </c>
      <c r="AB4" s="47">
        <f t="shared" si="0"/>
        <v>1.4568111725277988</v>
      </c>
    </row>
    <row r="5" spans="1:28">
      <c r="A5" s="175" t="s">
        <v>70</v>
      </c>
      <c r="B5" s="35"/>
      <c r="C5" s="48"/>
      <c r="D5" s="48">
        <v>6</v>
      </c>
      <c r="E5" s="48">
        <v>6</v>
      </c>
      <c r="F5" s="48">
        <v>6</v>
      </c>
      <c r="G5" s="48">
        <v>6</v>
      </c>
      <c r="H5" s="48">
        <v>6</v>
      </c>
      <c r="I5" s="48">
        <v>6</v>
      </c>
      <c r="J5" s="48">
        <v>6</v>
      </c>
      <c r="K5" s="48">
        <v>6</v>
      </c>
      <c r="L5" s="48">
        <v>6</v>
      </c>
      <c r="M5" s="48">
        <v>6</v>
      </c>
      <c r="N5" s="48">
        <v>6</v>
      </c>
      <c r="O5" s="48">
        <v>6</v>
      </c>
      <c r="P5" s="48">
        <v>6</v>
      </c>
      <c r="Q5" s="48">
        <v>6</v>
      </c>
      <c r="R5" s="48">
        <v>6</v>
      </c>
      <c r="S5" s="48">
        <v>6</v>
      </c>
      <c r="T5" s="48">
        <v>6</v>
      </c>
      <c r="U5" s="48">
        <v>6</v>
      </c>
      <c r="V5" s="48">
        <v>6</v>
      </c>
      <c r="W5" s="48">
        <v>6</v>
      </c>
      <c r="X5" s="48">
        <v>6</v>
      </c>
      <c r="Y5" s="48">
        <v>6</v>
      </c>
      <c r="Z5" s="48">
        <v>6</v>
      </c>
      <c r="AA5" s="48">
        <v>6</v>
      </c>
      <c r="AB5" s="48">
        <v>6</v>
      </c>
    </row>
    <row r="6" spans="1:28">
      <c r="A6" s="1" t="s">
        <v>5</v>
      </c>
      <c r="B6" s="35"/>
      <c r="C6" s="49"/>
      <c r="D6" s="49">
        <f>SUM(E6:H6)</f>
        <v>0.23754359779299844</v>
      </c>
      <c r="E6" s="56">
        <f>+'Initial data'!$C$18/4/3*2</f>
        <v>4.3189745053272444E-2</v>
      </c>
      <c r="F6" s="49">
        <f>+'Initial data'!$C$18/4</f>
        <v>6.4784617579908665E-2</v>
      </c>
      <c r="G6" s="49">
        <f>+'Initial data'!$C$18/4</f>
        <v>6.4784617579908665E-2</v>
      </c>
      <c r="H6" s="49">
        <f>+'Initial data'!$C$18/4</f>
        <v>6.4784617579908665E-2</v>
      </c>
      <c r="I6" s="49">
        <f>+'Initial data'!$C$18</f>
        <v>0.25913847031963466</v>
      </c>
      <c r="J6" s="49">
        <f t="shared" ref="J6:Z6" si="1">+I6</f>
        <v>0.25913847031963466</v>
      </c>
      <c r="K6" s="49">
        <f t="shared" si="1"/>
        <v>0.25913847031963466</v>
      </c>
      <c r="L6" s="49">
        <f t="shared" si="1"/>
        <v>0.25913847031963466</v>
      </c>
      <c r="M6" s="49">
        <f t="shared" si="1"/>
        <v>0.25913847031963466</v>
      </c>
      <c r="N6" s="49">
        <f t="shared" si="1"/>
        <v>0.25913847031963466</v>
      </c>
      <c r="O6" s="49">
        <f t="shared" si="1"/>
        <v>0.25913847031963466</v>
      </c>
      <c r="P6" s="49">
        <f t="shared" si="1"/>
        <v>0.25913847031963466</v>
      </c>
      <c r="Q6" s="49">
        <f t="shared" si="1"/>
        <v>0.25913847031963466</v>
      </c>
      <c r="R6" s="49">
        <f t="shared" si="1"/>
        <v>0.25913847031963466</v>
      </c>
      <c r="S6" s="49">
        <f t="shared" si="1"/>
        <v>0.25913847031963466</v>
      </c>
      <c r="T6" s="49">
        <f t="shared" si="1"/>
        <v>0.25913847031963466</v>
      </c>
      <c r="U6" s="49">
        <f t="shared" si="1"/>
        <v>0.25913847031963466</v>
      </c>
      <c r="V6" s="49">
        <f t="shared" si="1"/>
        <v>0.25913847031963466</v>
      </c>
      <c r="W6" s="49">
        <f t="shared" si="1"/>
        <v>0.25913847031963466</v>
      </c>
      <c r="X6" s="49">
        <f t="shared" si="1"/>
        <v>0.25913847031963466</v>
      </c>
      <c r="Y6" s="49">
        <f t="shared" si="1"/>
        <v>0.25913847031963466</v>
      </c>
      <c r="Z6" s="49">
        <f t="shared" si="1"/>
        <v>0.25913847031963466</v>
      </c>
      <c r="AA6" s="49">
        <f>+Z6</f>
        <v>0.25913847031963466</v>
      </c>
      <c r="AB6" s="49">
        <f>+AA6/12</f>
        <v>2.1594872526636222E-2</v>
      </c>
    </row>
    <row r="7" spans="1:28">
      <c r="A7" s="175" t="s">
        <v>71</v>
      </c>
      <c r="B7" s="35"/>
      <c r="C7" s="50"/>
      <c r="D7" s="51">
        <f>SUM(E7:H7)</f>
        <v>12485.291499999998</v>
      </c>
      <c r="E7" s="50">
        <f>+E6*E5*8760</f>
        <v>2270.0529999999994</v>
      </c>
      <c r="F7" s="50">
        <f>+F6*F5*8760</f>
        <v>3405.0794999999994</v>
      </c>
      <c r="G7" s="50">
        <f>+G6*G5*8760</f>
        <v>3405.0794999999994</v>
      </c>
      <c r="H7" s="50">
        <f>+H6*H5*8760</f>
        <v>3405.0794999999994</v>
      </c>
      <c r="I7" s="50">
        <f t="shared" ref="I7:AA7" si="2">+I6*I5*8760</f>
        <v>13620.317999999997</v>
      </c>
      <c r="J7" s="50">
        <f>+J6*J5*8760</f>
        <v>13620.317999999997</v>
      </c>
      <c r="K7" s="50">
        <f t="shared" si="2"/>
        <v>13620.317999999997</v>
      </c>
      <c r="L7" s="50">
        <f t="shared" si="2"/>
        <v>13620.317999999997</v>
      </c>
      <c r="M7" s="50">
        <f t="shared" si="2"/>
        <v>13620.317999999997</v>
      </c>
      <c r="N7" s="50">
        <f t="shared" si="2"/>
        <v>13620.317999999997</v>
      </c>
      <c r="O7" s="50">
        <f t="shared" si="2"/>
        <v>13620.317999999997</v>
      </c>
      <c r="P7" s="50">
        <f t="shared" si="2"/>
        <v>13620.317999999997</v>
      </c>
      <c r="Q7" s="50">
        <f t="shared" si="2"/>
        <v>13620.317999999997</v>
      </c>
      <c r="R7" s="50">
        <f t="shared" si="2"/>
        <v>13620.317999999997</v>
      </c>
      <c r="S7" s="50">
        <f t="shared" si="2"/>
        <v>13620.317999999997</v>
      </c>
      <c r="T7" s="50">
        <f t="shared" si="2"/>
        <v>13620.317999999997</v>
      </c>
      <c r="U7" s="50">
        <f t="shared" si="2"/>
        <v>13620.317999999997</v>
      </c>
      <c r="V7" s="50">
        <f t="shared" si="2"/>
        <v>13620.317999999997</v>
      </c>
      <c r="W7" s="50">
        <f t="shared" si="2"/>
        <v>13620.317999999997</v>
      </c>
      <c r="X7" s="50">
        <f t="shared" si="2"/>
        <v>13620.317999999997</v>
      </c>
      <c r="Y7" s="50">
        <f t="shared" si="2"/>
        <v>13620.317999999997</v>
      </c>
      <c r="Z7" s="50">
        <f t="shared" si="2"/>
        <v>13620.317999999997</v>
      </c>
      <c r="AA7" s="50">
        <f t="shared" si="2"/>
        <v>13620.317999999997</v>
      </c>
      <c r="AB7" s="50">
        <f>+AB6*AB5*8760</f>
        <v>1135.0264999999997</v>
      </c>
    </row>
    <row r="8" spans="1:28" ht="15.75" thickBot="1">
      <c r="A8" s="30"/>
      <c r="B8" s="35"/>
      <c r="C8" s="48"/>
      <c r="D8" s="48"/>
      <c r="E8" s="48"/>
      <c r="F8" s="48"/>
      <c r="G8" s="48"/>
      <c r="H8" s="48"/>
      <c r="I8" s="48"/>
      <c r="J8" s="48"/>
      <c r="K8" s="48"/>
      <c r="L8" s="48"/>
      <c r="M8" s="48"/>
      <c r="N8" s="48"/>
      <c r="O8" s="48"/>
      <c r="P8" s="48"/>
      <c r="Q8" s="48"/>
      <c r="R8" s="48"/>
      <c r="S8" s="48"/>
      <c r="T8" s="48"/>
      <c r="U8" s="48"/>
      <c r="V8" s="48"/>
      <c r="W8" s="48"/>
      <c r="X8" s="48"/>
      <c r="Y8" s="48"/>
      <c r="Z8" s="48"/>
      <c r="AA8" s="48"/>
      <c r="AB8" s="48"/>
    </row>
    <row r="9" spans="1:28" s="11" customFormat="1">
      <c r="A9" s="33" t="s">
        <v>72</v>
      </c>
      <c r="B9" s="33"/>
      <c r="C9" s="46">
        <v>2010</v>
      </c>
      <c r="D9" s="46">
        <v>2011</v>
      </c>
      <c r="E9" s="46" t="s">
        <v>14</v>
      </c>
      <c r="F9" s="46" t="s">
        <v>15</v>
      </c>
      <c r="G9" s="46" t="s">
        <v>16</v>
      </c>
      <c r="H9" s="46" t="s">
        <v>17</v>
      </c>
      <c r="I9" s="46">
        <v>2012</v>
      </c>
      <c r="J9" s="46">
        <v>2013</v>
      </c>
      <c r="K9" s="46">
        <v>2014</v>
      </c>
      <c r="L9" s="46">
        <v>2015</v>
      </c>
      <c r="M9" s="46">
        <v>2016</v>
      </c>
      <c r="N9" s="46">
        <v>2017</v>
      </c>
      <c r="O9" s="46">
        <v>2018</v>
      </c>
      <c r="P9" s="46">
        <v>2019</v>
      </c>
      <c r="Q9" s="46">
        <v>2020</v>
      </c>
      <c r="R9" s="46">
        <v>2021</v>
      </c>
      <c r="S9" s="46">
        <v>2022</v>
      </c>
      <c r="T9" s="46">
        <v>2023</v>
      </c>
      <c r="U9" s="46">
        <v>2024</v>
      </c>
      <c r="V9" s="46">
        <v>2025</v>
      </c>
      <c r="W9" s="46">
        <v>2026</v>
      </c>
      <c r="X9" s="46">
        <v>2027</v>
      </c>
      <c r="Y9" s="46">
        <v>2028</v>
      </c>
      <c r="Z9" s="46">
        <v>2029</v>
      </c>
      <c r="AA9" s="46">
        <v>2030</v>
      </c>
      <c r="AB9" s="46">
        <v>2031</v>
      </c>
    </row>
    <row r="10" spans="1:28">
      <c r="A10" s="175" t="s">
        <v>73</v>
      </c>
      <c r="B10" s="35"/>
      <c r="C10" s="51"/>
      <c r="D10" s="51">
        <f>+'Initial data'!$C$4</f>
        <v>86.886005560704362</v>
      </c>
      <c r="E10" s="51">
        <f>+'Initial data'!$C$4</f>
        <v>86.886005560704362</v>
      </c>
      <c r="F10" s="51">
        <f>+'Initial data'!$C$4</f>
        <v>86.886005560704362</v>
      </c>
      <c r="G10" s="51">
        <f>+'Initial data'!$C$4</f>
        <v>86.886005560704362</v>
      </c>
      <c r="H10" s="51">
        <f>+'Initial data'!$C$4</f>
        <v>86.886005560704362</v>
      </c>
      <c r="I10" s="51">
        <f>+'Initial data'!$C$4</f>
        <v>86.886005560704362</v>
      </c>
      <c r="J10" s="51">
        <f>+'Initial data'!$C$4</f>
        <v>86.886005560704362</v>
      </c>
      <c r="K10" s="51">
        <f>+'Initial data'!$C$4</f>
        <v>86.886005560704362</v>
      </c>
      <c r="L10" s="51">
        <f>+'Initial data'!$C$4</f>
        <v>86.886005560704362</v>
      </c>
      <c r="M10" s="51">
        <f>+'Initial data'!$C$4</f>
        <v>86.886005560704362</v>
      </c>
      <c r="N10" s="51">
        <f>+'Initial data'!$C$4</f>
        <v>86.886005560704362</v>
      </c>
      <c r="O10" s="51">
        <f>+'Initial data'!$C$4</f>
        <v>86.886005560704362</v>
      </c>
      <c r="P10" s="51">
        <f>+'Initial data'!$C$4</f>
        <v>86.886005560704362</v>
      </c>
      <c r="Q10" s="51">
        <f>+'Initial data'!$C$4</f>
        <v>86.886005560704362</v>
      </c>
      <c r="R10" s="51">
        <f>'Initial data'!$C$5</f>
        <v>46.417400370713629</v>
      </c>
      <c r="S10" s="51">
        <f>'Initial data'!$C$5</f>
        <v>46.417400370713629</v>
      </c>
      <c r="T10" s="51">
        <f>'Initial data'!$C$5</f>
        <v>46.417400370713629</v>
      </c>
      <c r="U10" s="51">
        <f>'Initial data'!$C$5</f>
        <v>46.417400370713629</v>
      </c>
      <c r="V10" s="51">
        <f>'Initial data'!$C$5</f>
        <v>46.417400370713629</v>
      </c>
      <c r="W10" s="51">
        <f>'Initial data'!$C$5</f>
        <v>46.417400370713629</v>
      </c>
      <c r="X10" s="51">
        <f>'Initial data'!$C$5</f>
        <v>46.417400370713629</v>
      </c>
      <c r="Y10" s="51">
        <f>'Initial data'!$C$5</f>
        <v>46.417400370713629</v>
      </c>
      <c r="Z10" s="51">
        <f>'Initial data'!$C$5</f>
        <v>46.417400370713629</v>
      </c>
      <c r="AA10" s="51">
        <f>'Initial data'!$C$5</f>
        <v>46.417400370713629</v>
      </c>
      <c r="AB10" s="51">
        <f>'Initial data'!$C$5</f>
        <v>46.417400370713629</v>
      </c>
    </row>
    <row r="11" spans="1:28">
      <c r="A11" s="175" t="s">
        <v>74</v>
      </c>
      <c r="B11" s="35"/>
      <c r="C11" s="51"/>
      <c r="D11" s="51">
        <f>SUM(E11:H11)</f>
        <v>1084.7971066960147</v>
      </c>
      <c r="E11" s="51">
        <f t="shared" ref="E11:Z11" si="3">+E10*E7/1000</f>
        <v>197.23583758109356</v>
      </c>
      <c r="F11" s="51">
        <f t="shared" si="3"/>
        <v>295.85375637164037</v>
      </c>
      <c r="G11" s="51">
        <f t="shared" si="3"/>
        <v>295.85375637164037</v>
      </c>
      <c r="H11" s="51">
        <f t="shared" si="3"/>
        <v>295.85375637164037</v>
      </c>
      <c r="I11" s="51">
        <f t="shared" si="3"/>
        <v>1183.4150254865615</v>
      </c>
      <c r="J11" s="51">
        <f t="shared" si="3"/>
        <v>1183.4150254865615</v>
      </c>
      <c r="K11" s="51">
        <f t="shared" si="3"/>
        <v>1183.4150254865615</v>
      </c>
      <c r="L11" s="51">
        <f t="shared" si="3"/>
        <v>1183.4150254865615</v>
      </c>
      <c r="M11" s="51">
        <f t="shared" si="3"/>
        <v>1183.4150254865615</v>
      </c>
      <c r="N11" s="51">
        <f t="shared" si="3"/>
        <v>1183.4150254865615</v>
      </c>
      <c r="O11" s="51">
        <f t="shared" si="3"/>
        <v>1183.4150254865615</v>
      </c>
      <c r="P11" s="51">
        <f t="shared" si="3"/>
        <v>1183.4150254865615</v>
      </c>
      <c r="Q11" s="51">
        <f t="shared" si="3"/>
        <v>1183.4150254865615</v>
      </c>
      <c r="R11" s="51">
        <f t="shared" si="3"/>
        <v>632.21975378243746</v>
      </c>
      <c r="S11" s="51">
        <f t="shared" si="3"/>
        <v>632.21975378243746</v>
      </c>
      <c r="T11" s="51">
        <f t="shared" si="3"/>
        <v>632.21975378243746</v>
      </c>
      <c r="U11" s="51">
        <f t="shared" si="3"/>
        <v>632.21975378243746</v>
      </c>
      <c r="V11" s="51">
        <f t="shared" si="3"/>
        <v>632.21975378243746</v>
      </c>
      <c r="W11" s="51">
        <f t="shared" si="3"/>
        <v>632.21975378243746</v>
      </c>
      <c r="X11" s="51">
        <f t="shared" si="3"/>
        <v>632.21975378243746</v>
      </c>
      <c r="Y11" s="51">
        <f t="shared" si="3"/>
        <v>632.21975378243746</v>
      </c>
      <c r="Z11" s="51">
        <f t="shared" si="3"/>
        <v>632.21975378243746</v>
      </c>
      <c r="AA11" s="51">
        <f>+AA10*AA7/1000</f>
        <v>632.21975378243746</v>
      </c>
      <c r="AB11" s="51">
        <f>+AB10*AB7/1000</f>
        <v>52.684979481869775</v>
      </c>
    </row>
    <row r="12" spans="1:28">
      <c r="A12" s="175" t="s">
        <v>7</v>
      </c>
      <c r="B12" s="35"/>
      <c r="C12" s="51"/>
      <c r="D12" s="51">
        <f>SUM(E12:H12)</f>
        <v>85.973717268999991</v>
      </c>
      <c r="E12" s="51"/>
      <c r="F12" s="51"/>
      <c r="G12" s="51"/>
      <c r="H12" s="51">
        <f>+'Initial data'!$C$30*SUM(D7)/1000*'Initial data'!$C$31</f>
        <v>85.973717268999991</v>
      </c>
      <c r="I12" s="51">
        <f>+'Initial data'!$C$30*I7/1000*'Initial data'!$C$31</f>
        <v>93.789509748</v>
      </c>
      <c r="J12" s="51"/>
      <c r="K12" s="48"/>
      <c r="L12" s="48"/>
      <c r="M12" s="48"/>
      <c r="N12" s="48"/>
      <c r="O12" s="48"/>
      <c r="P12" s="48"/>
      <c r="Q12" s="48"/>
      <c r="R12" s="48"/>
      <c r="S12" s="48"/>
      <c r="T12" s="48"/>
      <c r="U12" s="48"/>
      <c r="V12" s="48"/>
      <c r="W12" s="48"/>
      <c r="X12" s="48"/>
      <c r="Y12" s="48"/>
      <c r="Z12" s="48"/>
      <c r="AA12" s="48"/>
      <c r="AB12" s="48"/>
    </row>
    <row r="13" spans="1:28" s="14" customFormat="1">
      <c r="A13" s="176" t="s">
        <v>75</v>
      </c>
      <c r="B13" s="36"/>
      <c r="C13" s="52"/>
      <c r="D13" s="52">
        <f t="shared" ref="D13:AA13" si="4">+SUM(D11:D12)</f>
        <v>1170.7708239650146</v>
      </c>
      <c r="E13" s="52">
        <f t="shared" si="4"/>
        <v>197.23583758109356</v>
      </c>
      <c r="F13" s="52">
        <f t="shared" si="4"/>
        <v>295.85375637164037</v>
      </c>
      <c r="G13" s="52">
        <f t="shared" si="4"/>
        <v>295.85375637164037</v>
      </c>
      <c r="H13" s="52">
        <f t="shared" si="4"/>
        <v>381.82747364064039</v>
      </c>
      <c r="I13" s="52">
        <f t="shared" si="4"/>
        <v>1277.2045352345615</v>
      </c>
      <c r="J13" s="52">
        <f t="shared" si="4"/>
        <v>1183.4150254865615</v>
      </c>
      <c r="K13" s="52">
        <f t="shared" si="4"/>
        <v>1183.4150254865615</v>
      </c>
      <c r="L13" s="52">
        <f t="shared" si="4"/>
        <v>1183.4150254865615</v>
      </c>
      <c r="M13" s="52">
        <f t="shared" si="4"/>
        <v>1183.4150254865615</v>
      </c>
      <c r="N13" s="52">
        <f t="shared" si="4"/>
        <v>1183.4150254865615</v>
      </c>
      <c r="O13" s="52">
        <f t="shared" si="4"/>
        <v>1183.4150254865615</v>
      </c>
      <c r="P13" s="52">
        <f t="shared" si="4"/>
        <v>1183.4150254865615</v>
      </c>
      <c r="Q13" s="52">
        <f t="shared" si="4"/>
        <v>1183.4150254865615</v>
      </c>
      <c r="R13" s="52">
        <f t="shared" si="4"/>
        <v>632.21975378243746</v>
      </c>
      <c r="S13" s="52">
        <f t="shared" si="4"/>
        <v>632.21975378243746</v>
      </c>
      <c r="T13" s="52">
        <f t="shared" si="4"/>
        <v>632.21975378243746</v>
      </c>
      <c r="U13" s="52">
        <f t="shared" si="4"/>
        <v>632.21975378243746</v>
      </c>
      <c r="V13" s="52">
        <f t="shared" si="4"/>
        <v>632.21975378243746</v>
      </c>
      <c r="W13" s="52">
        <f t="shared" si="4"/>
        <v>632.21975378243746</v>
      </c>
      <c r="X13" s="52">
        <f t="shared" si="4"/>
        <v>632.21975378243746</v>
      </c>
      <c r="Y13" s="52">
        <f t="shared" si="4"/>
        <v>632.21975378243746</v>
      </c>
      <c r="Z13" s="52">
        <f t="shared" si="4"/>
        <v>632.21975378243746</v>
      </c>
      <c r="AA13" s="52">
        <f t="shared" si="4"/>
        <v>632.21975378243746</v>
      </c>
      <c r="AB13" s="52">
        <f>+SUM(AB11:AB12)</f>
        <v>52.684979481869775</v>
      </c>
    </row>
    <row r="14" spans="1:28">
      <c r="A14" s="30"/>
      <c r="B14" s="35"/>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row>
    <row r="15" spans="1:28">
      <c r="A15" s="175" t="s">
        <v>76</v>
      </c>
      <c r="B15" s="35"/>
      <c r="C15" s="48"/>
      <c r="D15" s="51">
        <f>SUM(E15:H15)</f>
        <v>-62.481603249999985</v>
      </c>
      <c r="E15" s="51">
        <f>-'Initial data'!$C$36/12*2*3</f>
        <v>-11.25</v>
      </c>
      <c r="F15" s="51">
        <f>-'Initial data'!$C$36/4*3</f>
        <v>-16.875</v>
      </c>
      <c r="G15" s="51">
        <f>-'Initial data'!$C$36/4*3</f>
        <v>-16.875</v>
      </c>
      <c r="H15" s="51">
        <f>-'Initial data'!$C$36/4*3-(D7/3-4500/12*11)*3*'Initial data'!$C$37</f>
        <v>-17.481603249999985</v>
      </c>
      <c r="I15" s="51">
        <f>-('Initial data'!$C$36+IF(I7/3-4500&gt;0,(I7/3-4500)*'Initial data'!$C$37,0))*3</f>
        <v>-68.161748999999986</v>
      </c>
      <c r="J15" s="51">
        <f>-('Initial data'!$C$36+IF(J7/3-4500&gt;0,(J7/3-4500)*'Initial data'!$C$37,0))*3</f>
        <v>-68.161748999999986</v>
      </c>
      <c r="K15" s="51">
        <f>-('Initial data'!$C$36+IF(K7/3-4500&gt;0,(K7/3-4500)*'Initial data'!$C$37,0))*3</f>
        <v>-68.161748999999986</v>
      </c>
      <c r="L15" s="51">
        <f>-('Initial data'!$C$36+IF(L7/3-4500&gt;0,(L7/3-4500)*'Initial data'!$C$37,0))*3</f>
        <v>-68.161748999999986</v>
      </c>
      <c r="M15" s="51">
        <f>-('Initial data'!$D$36+IF(M7/3-4500&gt;0,(M7/3-4500)*'Initial data'!$D$37,0))*3</f>
        <v>-136.38365699999997</v>
      </c>
      <c r="N15" s="51">
        <f>-('Initial data'!$D$36+IF(N7/3-4500&gt;0,(N7/3-4500)*'Initial data'!$D$37,0))*3</f>
        <v>-136.38365699999997</v>
      </c>
      <c r="O15" s="51">
        <f>-('Initial data'!$D$36+IF(O7/3-4500&gt;0,(O7/3-4500)*'Initial data'!$D$37,0))*3</f>
        <v>-136.38365699999997</v>
      </c>
      <c r="P15" s="51">
        <f>-('Initial data'!$D$36+IF(P7/3-4500&gt;0,(P7/3-4500)*'Initial data'!$D$37,0))*3</f>
        <v>-136.38365699999997</v>
      </c>
      <c r="Q15" s="51">
        <f>-('Initial data'!$D$36+IF(Q7/3-4500&gt;0,(Q7/3-4500)*'Initial data'!$D$37,0))*3</f>
        <v>-136.38365699999997</v>
      </c>
      <c r="R15" s="51">
        <f>-('Initial data'!$D$36+IF(R7/3-4500&gt;0,(R7/3-4500)*'Initial data'!$D$37,0))*3</f>
        <v>-136.38365699999997</v>
      </c>
      <c r="S15" s="51">
        <f>-('Initial data'!$D$36+IF(S7/3-4500&gt;0,(S7/3-4500)*'Initial data'!$D$37,0))*3</f>
        <v>-136.38365699999997</v>
      </c>
      <c r="T15" s="51">
        <f>-('Initial data'!$D$36+IF(T7/3-4500&gt;0,(T7/3-4500)*'Initial data'!$D$37,0))*3</f>
        <v>-136.38365699999997</v>
      </c>
      <c r="U15" s="51">
        <f>-('Initial data'!$D$36+IF(U7/3-4500&gt;0,(U7/3-4500)*'Initial data'!$D$37,0))*3</f>
        <v>-136.38365699999997</v>
      </c>
      <c r="V15" s="51">
        <f>-('Initial data'!$D$36+IF(V7/3-4500&gt;0,(V7/3-4500)*'Initial data'!$D$37,0))*3</f>
        <v>-136.38365699999997</v>
      </c>
      <c r="W15" s="51">
        <f>-('Initial data'!$D$36+IF(W7/3-4500&gt;0,(W7/3-4500)*'Initial data'!$D$37,0))*3</f>
        <v>-136.38365699999997</v>
      </c>
      <c r="X15" s="51">
        <f>-('Initial data'!$D$36+IF(X7/3-4500&gt;0,(X7/3-4500)*'Initial data'!$D$37,0))*3</f>
        <v>-136.38365699999997</v>
      </c>
      <c r="Y15" s="51">
        <f>-('Initial data'!$D$36+IF(Y7/3-4500&gt;0,(Y7/3-4500)*'Initial data'!$D$37,0))*3</f>
        <v>-136.38365699999997</v>
      </c>
      <c r="Z15" s="51">
        <f>-('Initial data'!$D$36+IF(Z7/3-4500&gt;0,(Z7/3-4500)*'Initial data'!$D$37,0))*3</f>
        <v>-136.38365699999997</v>
      </c>
      <c r="AA15" s="51">
        <f>-('Initial data'!$D$36+IF(AA7/3-4500&gt;0,(AA7/3-4500)*'Initial data'!$D$37,0))*3</f>
        <v>-136.38365699999997</v>
      </c>
      <c r="AB15" s="51">
        <f>-('Initial data'!$D$36/12+IF(AB7/3-4500&gt;0,(AB7/3-4500)*'Initial data'!$D$37,0))*3</f>
        <v>-11.25</v>
      </c>
    </row>
    <row r="16" spans="1:28">
      <c r="A16" s="175" t="s">
        <v>77</v>
      </c>
      <c r="B16" s="35"/>
      <c r="C16" s="51">
        <v>-22.867241079703426</v>
      </c>
      <c r="D16" s="51">
        <f>SUM(E16:H16)</f>
        <v>-56.336431100115675</v>
      </c>
      <c r="E16" s="51">
        <f>-SUM('Initial data'!$C$40:$C$44)/4/1000*E4-'Initial data'!C46</f>
        <v>-25.393649821153659</v>
      </c>
      <c r="F16" s="51">
        <f>-SUM('Initial data'!$C$40:$C$44)/4/1000*F4</f>
        <v>-10.314260426320669</v>
      </c>
      <c r="G16" s="51">
        <f>-SUM('Initial data'!$C$40:$C$44)/4/1000*G4</f>
        <v>-10.314260426320669</v>
      </c>
      <c r="H16" s="51">
        <f>-SUM('Initial data'!$C$40:$C$44)/4/1000*H4</f>
        <v>-10.314260426320669</v>
      </c>
      <c r="I16" s="51">
        <f>-SUM('Initial data'!$C$40:$C$44)/1000*I4</f>
        <v>-42.082182539388327</v>
      </c>
      <c r="J16" s="51">
        <f>-SUM('Initial data'!$C$40:$C$44)/1000*J4</f>
        <v>-42.082182539388327</v>
      </c>
      <c r="K16" s="51">
        <f>-SUM('Initial data'!$C$40:$C$44)/1000*K4</f>
        <v>-42.923826190176094</v>
      </c>
      <c r="L16" s="51">
        <f>-SUM('Initial data'!$C$40:$C$44)/1000*L4</f>
        <v>-43.782302713979611</v>
      </c>
      <c r="M16" s="51">
        <f>-SUM('Initial data'!$C$40:$C$44)/1000*M4</f>
        <v>-44.65794876825921</v>
      </c>
      <c r="N16" s="51">
        <f>-SUM('Initial data'!$C$40:$C$44)/1000*N4</f>
        <v>-45.551107743624392</v>
      </c>
      <c r="O16" s="51">
        <f>-SUM('Initial data'!$C$40:$C$44)/1000*O4</f>
        <v>-46.462129898496883</v>
      </c>
      <c r="P16" s="51">
        <f>-SUM('Initial data'!$C$40:$C$44)/1000*P4</f>
        <v>-47.391372496466822</v>
      </c>
      <c r="Q16" s="51">
        <f>-SUM('Initial data'!$C$40:$C$44)/1000*Q4</f>
        <v>-48.339199946396157</v>
      </c>
      <c r="R16" s="51">
        <f>-SUM('Initial data'!$C$40:$C$44)/1000*R4</f>
        <v>-49.305983945324087</v>
      </c>
      <c r="S16" s="51">
        <f>-SUM('Initial data'!$C$40:$C$44)/1000*S4</f>
        <v>-50.29210362423057</v>
      </c>
      <c r="T16" s="51">
        <f>-SUM('Initial data'!$C$40:$C$44)/1000*T4</f>
        <v>-51.297945696715175</v>
      </c>
      <c r="U16" s="51">
        <f>-SUM('Initial data'!$C$40:$C$44)/1000*U4</f>
        <v>-52.323904610649478</v>
      </c>
      <c r="V16" s="51">
        <f>-SUM('Initial data'!$C$40:$C$44)/1000*V4</f>
        <v>-53.370382702862464</v>
      </c>
      <c r="W16" s="51">
        <f>-SUM('Initial data'!$C$40:$C$44)/1000*W4</f>
        <v>-54.43779035691972</v>
      </c>
      <c r="X16" s="51">
        <f>-SUM('Initial data'!$C$40:$C$44)/1000*X4</f>
        <v>-55.526546164058118</v>
      </c>
      <c r="Y16" s="51">
        <f>-SUM('Initial data'!$C$40:$C$44)/1000*Y4</f>
        <v>-56.637077087339279</v>
      </c>
      <c r="Z16" s="51">
        <f>-SUM('Initial data'!$C$40:$C$44)/1000*Z4</f>
        <v>-57.769818629086068</v>
      </c>
      <c r="AA16" s="51">
        <f>-SUM('Initial data'!$C$40:$C$44)/1000*AA4</f>
        <v>-58.925215001667794</v>
      </c>
      <c r="AB16" s="51">
        <f>-SUM('Initial data'!$C$40:$C$44)/1000*AB4/12</f>
        <v>-5.008643275141762</v>
      </c>
    </row>
    <row r="17" spans="1:28" s="14" customFormat="1">
      <c r="A17" s="176" t="s">
        <v>78</v>
      </c>
      <c r="B17" s="36"/>
      <c r="C17" s="78">
        <f t="shared" ref="C17:AA17" si="5">SUM(C15:C16)</f>
        <v>-22.867241079703426</v>
      </c>
      <c r="D17" s="52">
        <f t="shared" si="5"/>
        <v>-118.81803435011565</v>
      </c>
      <c r="E17" s="52">
        <f t="shared" si="5"/>
        <v>-36.643649821153659</v>
      </c>
      <c r="F17" s="52">
        <f t="shared" si="5"/>
        <v>-27.189260426320669</v>
      </c>
      <c r="G17" s="52">
        <f t="shared" si="5"/>
        <v>-27.189260426320669</v>
      </c>
      <c r="H17" s="52">
        <f t="shared" si="5"/>
        <v>-27.795863676320653</v>
      </c>
      <c r="I17" s="52">
        <f t="shared" si="5"/>
        <v>-110.24393153938831</v>
      </c>
      <c r="J17" s="52">
        <f t="shared" si="5"/>
        <v>-110.24393153938831</v>
      </c>
      <c r="K17" s="52">
        <f t="shared" si="5"/>
        <v>-111.08557519017609</v>
      </c>
      <c r="L17" s="52">
        <f t="shared" si="5"/>
        <v>-111.9440517139796</v>
      </c>
      <c r="M17" s="52">
        <f t="shared" si="5"/>
        <v>-181.04160576825919</v>
      </c>
      <c r="N17" s="52">
        <f t="shared" si="5"/>
        <v>-181.93476474362436</v>
      </c>
      <c r="O17" s="52">
        <f t="shared" si="5"/>
        <v>-182.84578689849684</v>
      </c>
      <c r="P17" s="52">
        <f t="shared" si="5"/>
        <v>-183.7750294964668</v>
      </c>
      <c r="Q17" s="52">
        <f t="shared" si="5"/>
        <v>-184.72285694639612</v>
      </c>
      <c r="R17" s="52">
        <f t="shared" si="5"/>
        <v>-185.68964094532407</v>
      </c>
      <c r="S17" s="52">
        <f t="shared" si="5"/>
        <v>-186.67576062423055</v>
      </c>
      <c r="T17" s="52">
        <f t="shared" si="5"/>
        <v>-187.68160269671515</v>
      </c>
      <c r="U17" s="52">
        <f t="shared" si="5"/>
        <v>-188.70756161064946</v>
      </c>
      <c r="V17" s="52">
        <f t="shared" si="5"/>
        <v>-189.75403970286243</v>
      </c>
      <c r="W17" s="52">
        <f t="shared" si="5"/>
        <v>-190.82144735691969</v>
      </c>
      <c r="X17" s="52">
        <f t="shared" si="5"/>
        <v>-191.91020316405809</v>
      </c>
      <c r="Y17" s="52">
        <f t="shared" si="5"/>
        <v>-193.02073408733924</v>
      </c>
      <c r="Z17" s="52">
        <f t="shared" si="5"/>
        <v>-194.15347562908605</v>
      </c>
      <c r="AA17" s="52">
        <f t="shared" si="5"/>
        <v>-195.30887200166777</v>
      </c>
      <c r="AB17" s="52">
        <f>SUM(AB15:AB16)</f>
        <v>-16.258643275141761</v>
      </c>
    </row>
    <row r="18" spans="1:28">
      <c r="A18" s="175"/>
      <c r="B18" s="35"/>
      <c r="C18" s="79"/>
      <c r="D18" s="51"/>
      <c r="E18" s="51"/>
      <c r="F18" s="51"/>
      <c r="G18" s="51"/>
      <c r="H18" s="51"/>
      <c r="I18" s="48"/>
      <c r="J18" s="48"/>
      <c r="K18" s="48"/>
      <c r="L18" s="48"/>
      <c r="M18" s="48"/>
      <c r="N18" s="48"/>
      <c r="O18" s="48"/>
      <c r="P18" s="48"/>
      <c r="Q18" s="48"/>
      <c r="R18" s="48"/>
      <c r="S18" s="48"/>
      <c r="T18" s="48"/>
      <c r="U18" s="48"/>
      <c r="V18" s="48"/>
      <c r="W18" s="48"/>
      <c r="X18" s="48"/>
      <c r="Y18" s="48"/>
      <c r="Z18" s="48"/>
      <c r="AA18" s="48"/>
      <c r="AB18" s="48"/>
    </row>
    <row r="19" spans="1:28" s="14" customFormat="1">
      <c r="A19" s="176" t="s">
        <v>12</v>
      </c>
      <c r="B19" s="36"/>
      <c r="C19" s="78">
        <f t="shared" ref="C19:AA19" si="6">SUM(C13,C17)</f>
        <v>-22.867241079703426</v>
      </c>
      <c r="D19" s="52">
        <f t="shared" si="6"/>
        <v>1051.9527896148991</v>
      </c>
      <c r="E19" s="52">
        <f t="shared" si="6"/>
        <v>160.59218775993992</v>
      </c>
      <c r="F19" s="52">
        <f t="shared" si="6"/>
        <v>268.66449594531969</v>
      </c>
      <c r="G19" s="52">
        <f t="shared" si="6"/>
        <v>268.66449594531969</v>
      </c>
      <c r="H19" s="52">
        <f t="shared" si="6"/>
        <v>354.03160996431973</v>
      </c>
      <c r="I19" s="52">
        <f t="shared" si="6"/>
        <v>1166.9606036951732</v>
      </c>
      <c r="J19" s="52">
        <f t="shared" si="6"/>
        <v>1073.1710939471732</v>
      </c>
      <c r="K19" s="52">
        <f t="shared" si="6"/>
        <v>1072.3294502963854</v>
      </c>
      <c r="L19" s="52">
        <f t="shared" si="6"/>
        <v>1071.4709737725818</v>
      </c>
      <c r="M19" s="52">
        <f t="shared" si="6"/>
        <v>1002.3734197183023</v>
      </c>
      <c r="N19" s="52">
        <f t="shared" si="6"/>
        <v>1001.4802607429372</v>
      </c>
      <c r="O19" s="52">
        <f t="shared" si="6"/>
        <v>1000.5692385880646</v>
      </c>
      <c r="P19" s="52">
        <f t="shared" si="6"/>
        <v>999.63999599009469</v>
      </c>
      <c r="Q19" s="52">
        <f t="shared" si="6"/>
        <v>998.69216854016531</v>
      </c>
      <c r="R19" s="52">
        <f t="shared" si="6"/>
        <v>446.53011283711339</v>
      </c>
      <c r="S19" s="52">
        <f t="shared" si="6"/>
        <v>445.54399315820694</v>
      </c>
      <c r="T19" s="52">
        <f t="shared" si="6"/>
        <v>444.53815108572235</v>
      </c>
      <c r="U19" s="52">
        <f t="shared" si="6"/>
        <v>443.512192171788</v>
      </c>
      <c r="V19" s="52">
        <f t="shared" si="6"/>
        <v>442.46571407957504</v>
      </c>
      <c r="W19" s="52">
        <f t="shared" si="6"/>
        <v>441.39830642551777</v>
      </c>
      <c r="X19" s="52">
        <f t="shared" si="6"/>
        <v>440.30955061837938</v>
      </c>
      <c r="Y19" s="52">
        <f t="shared" si="6"/>
        <v>439.19901969509823</v>
      </c>
      <c r="Z19" s="52">
        <f t="shared" si="6"/>
        <v>438.06627815335139</v>
      </c>
      <c r="AA19" s="52">
        <f t="shared" si="6"/>
        <v>436.91088178076973</v>
      </c>
      <c r="AB19" s="52">
        <f>SUM(AB13,AB17)</f>
        <v>36.42633620672801</v>
      </c>
    </row>
    <row r="20" spans="1:28">
      <c r="A20" s="175" t="s">
        <v>79</v>
      </c>
      <c r="B20" s="35"/>
      <c r="C20" s="80">
        <f>-'Additional data'!C29</f>
        <v>0</v>
      </c>
      <c r="D20" s="51">
        <f>SUM(E20:H20)</f>
        <v>-390.08749999999998</v>
      </c>
      <c r="E20" s="57">
        <f>-'Additional data'!E29</f>
        <v>-70.924999999999997</v>
      </c>
      <c r="F20" s="51">
        <f>-'Additional data'!F29</f>
        <v>-106.3875</v>
      </c>
      <c r="G20" s="51">
        <f>-'Additional data'!G29</f>
        <v>-106.3875</v>
      </c>
      <c r="H20" s="51">
        <f>-'Additional data'!H29</f>
        <v>-106.3875</v>
      </c>
      <c r="I20" s="51">
        <f>-'Additional data'!I29</f>
        <v>-425.55</v>
      </c>
      <c r="J20" s="51">
        <f>-'Additional data'!J29</f>
        <v>-425.55</v>
      </c>
      <c r="K20" s="51">
        <f>-'Additional data'!K29</f>
        <v>-425.55</v>
      </c>
      <c r="L20" s="51">
        <f>-'Additional data'!L29</f>
        <v>-425.55</v>
      </c>
      <c r="M20" s="51">
        <f>-'Additional data'!M29</f>
        <v>-425.55</v>
      </c>
      <c r="N20" s="51">
        <f>-'Additional data'!N29</f>
        <v>-425.55</v>
      </c>
      <c r="O20" s="51">
        <f>-'Additional data'!O29</f>
        <v>-425.55</v>
      </c>
      <c r="P20" s="51">
        <f>-'Additional data'!P29</f>
        <v>-425.55</v>
      </c>
      <c r="Q20" s="51">
        <f>-'Additional data'!Q29</f>
        <v>-425.55</v>
      </c>
      <c r="R20" s="51">
        <f>-'Additional data'!R29</f>
        <v>-425.55</v>
      </c>
      <c r="S20" s="51">
        <f>-'Additional data'!S29</f>
        <v>-425.55</v>
      </c>
      <c r="T20" s="51">
        <f>-'Additional data'!T29</f>
        <v>-425.55</v>
      </c>
      <c r="U20" s="51">
        <f>-'Additional data'!U29</f>
        <v>-425.55</v>
      </c>
      <c r="V20" s="51">
        <f>-'Additional data'!V29</f>
        <v>-425.55</v>
      </c>
      <c r="W20" s="51">
        <f>-'Additional data'!W29</f>
        <v>-425.55</v>
      </c>
      <c r="X20" s="51">
        <f>-'Additional data'!X29</f>
        <v>-425.55</v>
      </c>
      <c r="Y20" s="51">
        <f>-'Additional data'!Y29</f>
        <v>-425.55</v>
      </c>
      <c r="Z20" s="51">
        <f>-'Additional data'!Z29</f>
        <v>-425.55</v>
      </c>
      <c r="AA20" s="51">
        <f>-'Additional data'!AA29</f>
        <v>-425.55</v>
      </c>
      <c r="AB20" s="51">
        <f>-'Additional data'!AB29</f>
        <v>-35.462499999997817</v>
      </c>
    </row>
    <row r="21" spans="1:28" s="14" customFormat="1">
      <c r="A21" s="176" t="s">
        <v>11</v>
      </c>
      <c r="B21" s="36"/>
      <c r="C21" s="78">
        <f t="shared" ref="C21:AA21" si="7">SUM(C19:C20)</f>
        <v>-22.867241079703426</v>
      </c>
      <c r="D21" s="78">
        <f t="shared" si="7"/>
        <v>661.8652896148991</v>
      </c>
      <c r="E21" s="78">
        <f t="shared" si="7"/>
        <v>89.667187759939921</v>
      </c>
      <c r="F21" s="52">
        <f>SUM(F19:F20)</f>
        <v>162.2769959453197</v>
      </c>
      <c r="G21" s="52">
        <f t="shared" si="7"/>
        <v>162.2769959453197</v>
      </c>
      <c r="H21" s="52">
        <f t="shared" si="7"/>
        <v>247.64410996431974</v>
      </c>
      <c r="I21" s="52">
        <f t="shared" si="7"/>
        <v>741.41060369517322</v>
      </c>
      <c r="J21" s="52">
        <f t="shared" si="7"/>
        <v>647.62109394717322</v>
      </c>
      <c r="K21" s="52">
        <f t="shared" si="7"/>
        <v>646.77945029638545</v>
      </c>
      <c r="L21" s="52">
        <f t="shared" si="7"/>
        <v>645.92097377258187</v>
      </c>
      <c r="M21" s="52">
        <f t="shared" si="7"/>
        <v>576.82341971830238</v>
      </c>
      <c r="N21" s="52">
        <f t="shared" si="7"/>
        <v>575.93026074293721</v>
      </c>
      <c r="O21" s="52">
        <f t="shared" si="7"/>
        <v>575.01923858806458</v>
      </c>
      <c r="P21" s="52">
        <f t="shared" si="7"/>
        <v>574.08999599009462</v>
      </c>
      <c r="Q21" s="52">
        <f t="shared" si="7"/>
        <v>573.14216854016536</v>
      </c>
      <c r="R21" s="52">
        <f t="shared" si="7"/>
        <v>20.980112837113381</v>
      </c>
      <c r="S21" s="52">
        <f t="shared" si="7"/>
        <v>19.993993158206933</v>
      </c>
      <c r="T21" s="52">
        <f t="shared" si="7"/>
        <v>18.988151085722336</v>
      </c>
      <c r="U21" s="52">
        <f t="shared" si="7"/>
        <v>17.96219217178799</v>
      </c>
      <c r="V21" s="52">
        <f t="shared" si="7"/>
        <v>16.915714079575025</v>
      </c>
      <c r="W21" s="52">
        <f t="shared" si="7"/>
        <v>15.848306425517762</v>
      </c>
      <c r="X21" s="52">
        <f t="shared" si="7"/>
        <v>14.759550618379365</v>
      </c>
      <c r="Y21" s="52">
        <f t="shared" si="7"/>
        <v>13.649019695098218</v>
      </c>
      <c r="Z21" s="52">
        <f t="shared" si="7"/>
        <v>12.516278153351379</v>
      </c>
      <c r="AA21" s="52">
        <f t="shared" si="7"/>
        <v>11.360881780769716</v>
      </c>
      <c r="AB21" s="52">
        <f>SUM(AB19:AB20)</f>
        <v>0.96383620673019266</v>
      </c>
    </row>
    <row r="22" spans="1:28" s="18" customFormat="1">
      <c r="A22" s="175" t="s">
        <v>80</v>
      </c>
      <c r="B22" s="37"/>
      <c r="C22" s="80">
        <f>-(10.545+0.46+0.06)/eur</f>
        <v>-3.2046455050973126</v>
      </c>
      <c r="D22" s="51">
        <f>SUM(E22:H22)</f>
        <v>-229.64397952216547</v>
      </c>
      <c r="E22" s="53">
        <f>+'Additional data'!E9</f>
        <v>-71.639769466558434</v>
      </c>
      <c r="F22" s="53">
        <f>+'Additional data'!F9</f>
        <v>-53.577321886005549</v>
      </c>
      <c r="G22" s="53">
        <f>+'Additional data'!G9</f>
        <v>-52.67098007877663</v>
      </c>
      <c r="H22" s="53">
        <f>+'Additional data'!H9</f>
        <v>-51.755908090824832</v>
      </c>
      <c r="I22" s="53">
        <f>+'Additional data'!I9</f>
        <v>-197.69567019555123</v>
      </c>
      <c r="J22" s="53">
        <f>+'Additional data'!J9</f>
        <v>-182.33289479758861</v>
      </c>
      <c r="K22" s="53">
        <f>+'Additional data'!K9</f>
        <v>-166.37039039758682</v>
      </c>
      <c r="L22" s="53">
        <f>+'Additional data'!L9</f>
        <v>-149.77749669175125</v>
      </c>
      <c r="M22" s="53">
        <f>+'Additional data'!M9</f>
        <v>-132.53440772752242</v>
      </c>
      <c r="N22" s="53">
        <f>+'Additional data'!N9</f>
        <v>-114.61192772752162</v>
      </c>
      <c r="O22" s="53">
        <f>+'Additional data'!O9</f>
        <v>-95.985082727520407</v>
      </c>
      <c r="P22" s="53">
        <f>+'Additional data'!P9</f>
        <v>-76.673345727516889</v>
      </c>
      <c r="Q22" s="53">
        <f>+'Additional data'!Q9</f>
        <v>-56.360310494190813</v>
      </c>
      <c r="R22" s="53">
        <f>+'Additional data'!R9</f>
        <v>1.8595518248135706E-4</v>
      </c>
      <c r="S22" s="53">
        <f>+'Additional data'!S9</f>
        <v>1.8595518248135706E-4</v>
      </c>
      <c r="T22" s="53">
        <f>+'Additional data'!T9</f>
        <v>1.8595518248135706E-4</v>
      </c>
      <c r="U22" s="53">
        <f>+'Additional data'!U9</f>
        <v>1.8595518248135706E-4</v>
      </c>
      <c r="V22" s="53">
        <f>+'Additional data'!V9</f>
        <v>1.8595518248135706E-4</v>
      </c>
      <c r="W22" s="53">
        <f>+'Additional data'!W9</f>
        <v>1.8595518248135706E-4</v>
      </c>
      <c r="X22" s="53">
        <f>+'Additional data'!X9</f>
        <v>1.8595518248135706E-4</v>
      </c>
      <c r="Y22" s="53">
        <f>+'Additional data'!Y9</f>
        <v>1.8595518248135706E-4</v>
      </c>
      <c r="Z22" s="53">
        <f>+'Additional data'!Z9</f>
        <v>1.8595518248135706E-4</v>
      </c>
      <c r="AA22" s="53">
        <f>+'Additional data'!AA9</f>
        <v>1.8595518248135706E-4</v>
      </c>
      <c r="AB22" s="53">
        <f>+'Additional data'!AB9</f>
        <v>1.8595518248135706E-4</v>
      </c>
    </row>
    <row r="23" spans="1:28" s="18" customFormat="1">
      <c r="A23" s="175" t="s">
        <v>81</v>
      </c>
      <c r="B23" s="37"/>
      <c r="C23" s="80">
        <v>-38.216531510658022</v>
      </c>
      <c r="D23" s="51">
        <f>SUM(E23:H23)</f>
        <v>-115.975347544022</v>
      </c>
      <c r="E23" s="53">
        <f>+'Additional data'!E17</f>
        <v>-28.9938368860055</v>
      </c>
      <c r="F23" s="53">
        <f>+'Additional data'!F17</f>
        <v>-28.9938368860055</v>
      </c>
      <c r="G23" s="53">
        <f>+'Additional data'!G17</f>
        <v>-28.9938368860055</v>
      </c>
      <c r="H23" s="53">
        <f>+'Additional data'!H17</f>
        <v>-28.9938368860055</v>
      </c>
      <c r="I23" s="53">
        <f>+'Additional data'!I17</f>
        <v>-115.975347544022</v>
      </c>
      <c r="J23" s="53">
        <f>+'Additional data'!J17</f>
        <v>-92.26163473646443</v>
      </c>
      <c r="K23" s="53">
        <f>+'Additional data'!K17</f>
        <v>-72.051711775928993</v>
      </c>
      <c r="L23" s="53">
        <f>+'Additional data'!L17</f>
        <v>-50.873374849906178</v>
      </c>
      <c r="M23" s="53">
        <f>+'Additional data'!M17</f>
        <v>-28.67904490377239</v>
      </c>
      <c r="N23" s="53">
        <f>+'Additional data'!N17</f>
        <v>-8.8298761630458902</v>
      </c>
      <c r="O23" s="53">
        <f>+'Additional data'!O17</f>
        <v>0</v>
      </c>
      <c r="P23" s="53">
        <f>+'Additional data'!P17</f>
        <v>0</v>
      </c>
      <c r="Q23" s="53">
        <f>+'Additional data'!Q17</f>
        <v>0</v>
      </c>
      <c r="R23" s="53">
        <f>+'Additional data'!R17</f>
        <v>0</v>
      </c>
      <c r="S23" s="53">
        <f>+'Additional data'!S17</f>
        <v>0</v>
      </c>
      <c r="T23" s="53">
        <f>+'Additional data'!T17</f>
        <v>0</v>
      </c>
      <c r="U23" s="53">
        <f>+'Additional data'!U17</f>
        <v>0</v>
      </c>
      <c r="V23" s="53">
        <f>+'Additional data'!V17</f>
        <v>0</v>
      </c>
      <c r="W23" s="53">
        <f>+'Additional data'!W17</f>
        <v>0</v>
      </c>
      <c r="X23" s="53">
        <f>+'Additional data'!X17</f>
        <v>0</v>
      </c>
      <c r="Y23" s="53">
        <f>+'Additional data'!Y17</f>
        <v>0</v>
      </c>
      <c r="Z23" s="53">
        <f>+'Additional data'!Z17</f>
        <v>0</v>
      </c>
      <c r="AA23" s="53">
        <f>+'Additional data'!AA17</f>
        <v>0</v>
      </c>
      <c r="AB23" s="53">
        <f>+'Additional data'!AB17</f>
        <v>0</v>
      </c>
    </row>
    <row r="24" spans="1:28">
      <c r="A24" s="175" t="s">
        <v>82</v>
      </c>
      <c r="B24" s="35"/>
      <c r="C24" s="80">
        <f>+'Additional data'!C39</f>
        <v>0</v>
      </c>
      <c r="D24" s="51">
        <f>+'Additional data'!D39</f>
        <v>0</v>
      </c>
      <c r="E24" s="51">
        <f>+'Additional data'!E39</f>
        <v>0</v>
      </c>
      <c r="F24" s="51">
        <f>+'Additional data'!F39</f>
        <v>0</v>
      </c>
      <c r="G24" s="51">
        <f>+'Additional data'!G39</f>
        <v>0</v>
      </c>
      <c r="H24" s="51">
        <f>+'Additional data'!H39</f>
        <v>0</v>
      </c>
      <c r="I24" s="51">
        <f>+'Additional data'!I39</f>
        <v>0</v>
      </c>
      <c r="J24" s="51">
        <f>+'Additional data'!J39</f>
        <v>0</v>
      </c>
      <c r="K24" s="51">
        <f>+'Additional data'!K39</f>
        <v>0</v>
      </c>
      <c r="L24" s="51">
        <f>+'Additional data'!L39</f>
        <v>0</v>
      </c>
      <c r="M24" s="51">
        <f>+'Additional data'!M39</f>
        <v>0</v>
      </c>
      <c r="N24" s="51">
        <f>+'Additional data'!N39</f>
        <v>0</v>
      </c>
      <c r="O24" s="51">
        <f>+'Additional data'!O39</f>
        <v>0</v>
      </c>
      <c r="P24" s="51">
        <f>+'Additional data'!P39</f>
        <v>-125.14656003938666</v>
      </c>
      <c r="Q24" s="51">
        <f>+'Additional data'!Q39</f>
        <v>-141.34977870689616</v>
      </c>
      <c r="R24" s="51">
        <f>+'Additional data'!R39</f>
        <v>-66.979544818844374</v>
      </c>
      <c r="S24" s="51">
        <f>+'Additional data'!S39</f>
        <v>-66.83162686700841</v>
      </c>
      <c r="T24" s="51">
        <f>+'Additional data'!T39</f>
        <v>-66.68075055613572</v>
      </c>
      <c r="U24" s="51">
        <f>+'Additional data'!U39</f>
        <v>-66.526856719045568</v>
      </c>
      <c r="V24" s="51">
        <f>+'Additional data'!V39</f>
        <v>-66.369885005213618</v>
      </c>
      <c r="W24" s="51">
        <f>+'Additional data'!W39</f>
        <v>-66.209773857105034</v>
      </c>
      <c r="X24" s="51">
        <f>+'Additional data'!X39</f>
        <v>-66.046460486034277</v>
      </c>
      <c r="Y24" s="51">
        <f>+'Additional data'!Y39</f>
        <v>-65.879880847542097</v>
      </c>
      <c r="Z24" s="51">
        <f>+'Additional data'!Z39</f>
        <v>-65.709969616280077</v>
      </c>
      <c r="AA24" s="51">
        <f>+'Additional data'!AA39</f>
        <v>-65.536660160392827</v>
      </c>
      <c r="AB24" s="51">
        <f>+'Additional data'!AB39</f>
        <v>-5.4639783242865736</v>
      </c>
    </row>
    <row r="25" spans="1:28">
      <c r="A25" s="175" t="s">
        <v>83</v>
      </c>
      <c r="B25" s="35"/>
      <c r="C25" s="51">
        <f>-(+'Additional data'!C22-'Additional data'!C29)*0.15</f>
        <v>0</v>
      </c>
      <c r="D25" s="51">
        <f>-(+'Additional data'!D22-'Additional data'!D29)*0.15</f>
        <v>-87.769687500000003</v>
      </c>
      <c r="E25" s="51">
        <f>-(+'Additional data'!E22-'Additional data'!E29)*0.15</f>
        <v>-15.958124999999999</v>
      </c>
      <c r="F25" s="51">
        <f>-(+'Additional data'!F22-'Additional data'!F29)*0.15</f>
        <v>-23.9371875</v>
      </c>
      <c r="G25" s="51">
        <f>-(+'Additional data'!G22-'Additional data'!G29)*0.15</f>
        <v>-23.9371875</v>
      </c>
      <c r="H25" s="51">
        <f>-(+'Additional data'!H22-'Additional data'!H29)*0.15</f>
        <v>-23.9371875</v>
      </c>
      <c r="I25" s="51">
        <f>-(+'Additional data'!I22-'Additional data'!I29)*0.15</f>
        <v>-95.748750000000001</v>
      </c>
      <c r="J25" s="51">
        <f>-(+'Additional data'!J22-'Additional data'!J29)*0.15</f>
        <v>-95.748750000000001</v>
      </c>
      <c r="K25" s="51">
        <f>-(+'Additional data'!K22-'Additional data'!K29)*0.15</f>
        <v>-95.748750000000001</v>
      </c>
      <c r="L25" s="51">
        <f>-(+'Additional data'!L22-'Additional data'!L29)*0.15</f>
        <v>-95.748750000000001</v>
      </c>
      <c r="M25" s="51">
        <f>-(+'Additional data'!M22-'Additional data'!M29)*0.15</f>
        <v>-95.748750000000001</v>
      </c>
      <c r="N25" s="51">
        <f>-(+'Additional data'!N22-'Additional data'!N29)*0.15</f>
        <v>-95.748750000000001</v>
      </c>
      <c r="O25" s="51">
        <f>-(+'Additional data'!O22-'Additional data'!O29)*0.15</f>
        <v>-95.748750000000001</v>
      </c>
      <c r="P25" s="51">
        <f>-(+'Additional data'!P22-'Additional data'!P29)*0.15</f>
        <v>50.534062499999997</v>
      </c>
      <c r="Q25" s="51">
        <f>-(+'Additional data'!Q22-'Additional data'!Q29)*0.15</f>
        <v>63.832499999999996</v>
      </c>
      <c r="R25" s="51">
        <f>-(+'Additional data'!R22-'Additional data'!R29)*0.15</f>
        <v>63.832499999999996</v>
      </c>
      <c r="S25" s="51">
        <f>-(+'Additional data'!S22-'Additional data'!S29)*0.15</f>
        <v>63.832499999999996</v>
      </c>
      <c r="T25" s="51">
        <f>-(+'Additional data'!T22-'Additional data'!T29)*0.15</f>
        <v>63.832499999999996</v>
      </c>
      <c r="U25" s="51">
        <f>-(+'Additional data'!U22-'Additional data'!U29)*0.15</f>
        <v>63.832499999999996</v>
      </c>
      <c r="V25" s="51">
        <f>-(+'Additional data'!V22-'Additional data'!V29)*0.15</f>
        <v>63.832499999999996</v>
      </c>
      <c r="W25" s="51">
        <f>-(+'Additional data'!W22-'Additional data'!W29)*0.15</f>
        <v>63.832499999999996</v>
      </c>
      <c r="X25" s="51">
        <f>-(+'Additional data'!X22-'Additional data'!X29)*0.15</f>
        <v>63.832499999999996</v>
      </c>
      <c r="Y25" s="51">
        <f>-(+'Additional data'!Y22-'Additional data'!Y29)*0.15</f>
        <v>63.832499999999996</v>
      </c>
      <c r="Z25" s="51">
        <f>-(+'Additional data'!Z22-'Additional data'!Z29)*0.15</f>
        <v>63.832499999999996</v>
      </c>
      <c r="AA25" s="51">
        <f>-(+'Additional data'!AA22-'Additional data'!AA29)*0.15</f>
        <v>63.832499999999996</v>
      </c>
      <c r="AB25" s="51">
        <f>-(+'Additional data'!AB22-'Additional data'!AB29)*0.15</f>
        <v>5.3193749999996722</v>
      </c>
    </row>
    <row r="26" spans="1:28">
      <c r="A26" s="176" t="s">
        <v>84</v>
      </c>
      <c r="B26" s="35"/>
      <c r="C26" s="52">
        <f t="shared" ref="C26:H26" si="8">SUM(C21:C25)</f>
        <v>-64.288418095458752</v>
      </c>
      <c r="D26" s="52">
        <f t="shared" si="8"/>
        <v>228.47627504871164</v>
      </c>
      <c r="E26" s="52">
        <f t="shared" si="8"/>
        <v>-26.924543592624012</v>
      </c>
      <c r="F26" s="52">
        <f t="shared" si="8"/>
        <v>55.768649673308651</v>
      </c>
      <c r="G26" s="52">
        <f t="shared" si="8"/>
        <v>56.674991480537564</v>
      </c>
      <c r="H26" s="52">
        <f t="shared" si="8"/>
        <v>142.95717748748939</v>
      </c>
      <c r="I26" s="52">
        <f t="shared" ref="I26:P26" si="9">SUM(I21:I25)</f>
        <v>331.99083595560001</v>
      </c>
      <c r="J26" s="52">
        <f t="shared" si="9"/>
        <v>277.27781441312015</v>
      </c>
      <c r="K26" s="52">
        <f t="shared" si="9"/>
        <v>312.60859812286969</v>
      </c>
      <c r="L26" s="52">
        <f t="shared" si="9"/>
        <v>349.52135223092444</v>
      </c>
      <c r="M26" s="52">
        <f t="shared" si="9"/>
        <v>319.86121708700762</v>
      </c>
      <c r="N26" s="52">
        <f t="shared" si="9"/>
        <v>356.73970685236975</v>
      </c>
      <c r="O26" s="52">
        <f t="shared" si="9"/>
        <v>383.28540586054419</v>
      </c>
      <c r="P26" s="52">
        <f t="shared" si="9"/>
        <v>422.80415272319107</v>
      </c>
      <c r="Q26" s="52">
        <f t="shared" ref="Q26:AB26" si="10">SUM(Q21:Q25)</f>
        <v>439.26457933907841</v>
      </c>
      <c r="R26" s="52">
        <f t="shared" si="10"/>
        <v>17.833253973451484</v>
      </c>
      <c r="S26" s="52">
        <f t="shared" si="10"/>
        <v>16.995052246381</v>
      </c>
      <c r="T26" s="52">
        <f t="shared" si="10"/>
        <v>16.140086484769093</v>
      </c>
      <c r="U26" s="52">
        <f t="shared" si="10"/>
        <v>15.268021407924898</v>
      </c>
      <c r="V26" s="52">
        <f t="shared" si="10"/>
        <v>14.378515029543884</v>
      </c>
      <c r="W26" s="52">
        <f t="shared" si="10"/>
        <v>13.471218523595205</v>
      </c>
      <c r="X26" s="52">
        <f t="shared" si="10"/>
        <v>12.545776087527564</v>
      </c>
      <c r="Y26" s="52">
        <f t="shared" si="10"/>
        <v>11.601824802738598</v>
      </c>
      <c r="Z26" s="52">
        <f t="shared" si="10"/>
        <v>10.638994492253779</v>
      </c>
      <c r="AA26" s="52">
        <f t="shared" si="10"/>
        <v>9.6569075755593659</v>
      </c>
      <c r="AB26" s="52">
        <f t="shared" si="10"/>
        <v>0.81941883762577294</v>
      </c>
    </row>
    <row r="27" spans="1:28" ht="15.75" thickBot="1">
      <c r="A27" s="30"/>
      <c r="B27" s="35"/>
      <c r="C27" s="48"/>
      <c r="D27" s="51"/>
      <c r="E27" s="51"/>
      <c r="F27" s="51"/>
      <c r="G27" s="51"/>
      <c r="H27" s="51"/>
      <c r="I27" s="51"/>
      <c r="J27" s="51"/>
      <c r="K27" s="51"/>
      <c r="L27" s="51"/>
      <c r="M27" s="51"/>
      <c r="N27" s="51"/>
      <c r="O27" s="51"/>
      <c r="P27" s="51"/>
      <c r="Q27" s="51"/>
      <c r="R27" s="51"/>
      <c r="S27" s="51"/>
      <c r="T27" s="51"/>
      <c r="U27" s="51"/>
      <c r="V27" s="51"/>
      <c r="W27" s="51"/>
      <c r="X27" s="51"/>
      <c r="Y27" s="51"/>
      <c r="Z27" s="51"/>
      <c r="AA27" s="51"/>
      <c r="AB27" s="51"/>
    </row>
    <row r="28" spans="1:28" s="11" customFormat="1">
      <c r="A28" s="29" t="s">
        <v>85</v>
      </c>
      <c r="B28" s="33"/>
      <c r="C28" s="46">
        <v>2010</v>
      </c>
      <c r="D28" s="46">
        <v>2011</v>
      </c>
      <c r="E28" s="46" t="s">
        <v>14</v>
      </c>
      <c r="F28" s="46" t="s">
        <v>15</v>
      </c>
      <c r="G28" s="46" t="s">
        <v>16</v>
      </c>
      <c r="H28" s="46" t="s">
        <v>17</v>
      </c>
      <c r="I28" s="46">
        <v>2012</v>
      </c>
      <c r="J28" s="46">
        <v>2013</v>
      </c>
      <c r="K28" s="46">
        <v>2014</v>
      </c>
      <c r="L28" s="46">
        <v>2015</v>
      </c>
      <c r="M28" s="46">
        <v>2016</v>
      </c>
      <c r="N28" s="46">
        <v>2017</v>
      </c>
      <c r="O28" s="46">
        <v>2018</v>
      </c>
      <c r="P28" s="46">
        <v>2019</v>
      </c>
      <c r="Q28" s="46">
        <v>2020</v>
      </c>
      <c r="R28" s="46">
        <v>2021</v>
      </c>
      <c r="S28" s="46">
        <v>2022</v>
      </c>
      <c r="T28" s="46">
        <v>2023</v>
      </c>
      <c r="U28" s="46">
        <v>2024</v>
      </c>
      <c r="V28" s="46">
        <v>2025</v>
      </c>
      <c r="W28" s="46">
        <v>2026</v>
      </c>
      <c r="X28" s="46">
        <v>2027</v>
      </c>
      <c r="Y28" s="46">
        <v>2028</v>
      </c>
      <c r="Z28" s="46">
        <v>2029</v>
      </c>
      <c r="AA28" s="46">
        <v>2030</v>
      </c>
      <c r="AB28" s="46">
        <v>2031</v>
      </c>
    </row>
    <row r="29" spans="1:28">
      <c r="A29" s="175" t="s">
        <v>86</v>
      </c>
      <c r="B29" s="38"/>
      <c r="C29" s="53">
        <f>+'Additional data'!C31</f>
        <v>8511</v>
      </c>
      <c r="D29" s="53">
        <f>+'Additional data'!D31</f>
        <v>8120.9125000000004</v>
      </c>
      <c r="E29" s="53">
        <f>+'Additional data'!E31</f>
        <v>8440.0750000000007</v>
      </c>
      <c r="F29" s="53">
        <f>+'Additional data'!F31</f>
        <v>8333.6875</v>
      </c>
      <c r="G29" s="53">
        <f>+'Additional data'!G31</f>
        <v>8227.2999999999993</v>
      </c>
      <c r="H29" s="53">
        <f>+'Additional data'!H31</f>
        <v>8120.9125000000004</v>
      </c>
      <c r="I29" s="53">
        <f>+'Additional data'!I31</f>
        <v>7695.3625000000002</v>
      </c>
      <c r="J29" s="53">
        <f>+'Additional data'!J31</f>
        <v>7269.8125</v>
      </c>
      <c r="K29" s="53">
        <f>+'Additional data'!K31</f>
        <v>6844.2624999999998</v>
      </c>
      <c r="L29" s="53">
        <f>+'Additional data'!L31</f>
        <v>6418.7124999999996</v>
      </c>
      <c r="M29" s="53">
        <f>+'Additional data'!M31</f>
        <v>5993.1625000000004</v>
      </c>
      <c r="N29" s="53">
        <f>+'Additional data'!N31</f>
        <v>5567.6124999999993</v>
      </c>
      <c r="O29" s="53">
        <f>+'Additional data'!O31</f>
        <v>5142.0625</v>
      </c>
      <c r="P29" s="53">
        <f>+'Additional data'!P31</f>
        <v>4716.5124999999989</v>
      </c>
      <c r="Q29" s="53">
        <f>+'Additional data'!Q31</f>
        <v>4290.9624999999996</v>
      </c>
      <c r="R29" s="53">
        <f>+'Additional data'!R31</f>
        <v>3865.4124999999995</v>
      </c>
      <c r="S29" s="53">
        <f>+'Additional data'!S31</f>
        <v>3439.8624999999993</v>
      </c>
      <c r="T29" s="53">
        <f>+'Additional data'!T31</f>
        <v>3014.3124999999991</v>
      </c>
      <c r="U29" s="53">
        <f>+'Additional data'!U31</f>
        <v>2588.7624999999989</v>
      </c>
      <c r="V29" s="53">
        <f>+'Additional data'!V31</f>
        <v>2163.2124999999987</v>
      </c>
      <c r="W29" s="53">
        <f>+'Additional data'!W31</f>
        <v>1737.6624999999985</v>
      </c>
      <c r="X29" s="53">
        <f>+'Additional data'!X31</f>
        <v>1312.1124999999984</v>
      </c>
      <c r="Y29" s="53">
        <f>+'Additional data'!Y31</f>
        <v>886.56249999999818</v>
      </c>
      <c r="Z29" s="53">
        <f>+'Additional data'!Z31</f>
        <v>461.012499999998</v>
      </c>
      <c r="AA29" s="53">
        <f>+'Additional data'!AA31</f>
        <v>35.462499999997817</v>
      </c>
      <c r="AB29" s="53">
        <f>+'Additional data'!AB31</f>
        <v>0</v>
      </c>
    </row>
    <row r="30" spans="1:28">
      <c r="A30" s="175" t="s">
        <v>87</v>
      </c>
      <c r="B30" s="38"/>
      <c r="C30" s="51">
        <f>+'Initial data'!B55*0.21/1000/eur</f>
        <v>1787.3705367817422</v>
      </c>
      <c r="D30" s="51">
        <f>+H30</f>
        <v>127.27582454688013</v>
      </c>
      <c r="E30" s="51">
        <f>+E13/3</f>
        <v>65.745279193697854</v>
      </c>
      <c r="F30" s="51">
        <f>+F13/3</f>
        <v>98.617918790546796</v>
      </c>
      <c r="G30" s="51">
        <f>+G13/3</f>
        <v>98.617918790546796</v>
      </c>
      <c r="H30" s="51">
        <f>+H13/3</f>
        <v>127.27582454688013</v>
      </c>
      <c r="I30" s="51">
        <f>+I13/12</f>
        <v>106.43371126954679</v>
      </c>
      <c r="J30" s="51">
        <f t="shared" ref="J30:AA30" si="11">+J13/12</f>
        <v>98.617918790546796</v>
      </c>
      <c r="K30" s="51">
        <f t="shared" si="11"/>
        <v>98.617918790546796</v>
      </c>
      <c r="L30" s="51">
        <f t="shared" si="11"/>
        <v>98.617918790546796</v>
      </c>
      <c r="M30" s="51">
        <f t="shared" si="11"/>
        <v>98.617918790546796</v>
      </c>
      <c r="N30" s="51">
        <f t="shared" si="11"/>
        <v>98.617918790546796</v>
      </c>
      <c r="O30" s="51">
        <f t="shared" si="11"/>
        <v>98.617918790546796</v>
      </c>
      <c r="P30" s="51">
        <f t="shared" si="11"/>
        <v>98.617918790546796</v>
      </c>
      <c r="Q30" s="51">
        <f t="shared" si="11"/>
        <v>98.617918790546796</v>
      </c>
      <c r="R30" s="51">
        <f t="shared" si="11"/>
        <v>52.684979481869789</v>
      </c>
      <c r="S30" s="51">
        <f t="shared" si="11"/>
        <v>52.684979481869789</v>
      </c>
      <c r="T30" s="51">
        <f t="shared" si="11"/>
        <v>52.684979481869789</v>
      </c>
      <c r="U30" s="51">
        <f t="shared" si="11"/>
        <v>52.684979481869789</v>
      </c>
      <c r="V30" s="51">
        <f t="shared" si="11"/>
        <v>52.684979481869789</v>
      </c>
      <c r="W30" s="51">
        <f t="shared" si="11"/>
        <v>52.684979481869789</v>
      </c>
      <c r="X30" s="51">
        <f t="shared" si="11"/>
        <v>52.684979481869789</v>
      </c>
      <c r="Y30" s="51">
        <f t="shared" si="11"/>
        <v>52.684979481869789</v>
      </c>
      <c r="Z30" s="51">
        <f t="shared" si="11"/>
        <v>52.684979481869789</v>
      </c>
      <c r="AA30" s="51">
        <f t="shared" si="11"/>
        <v>52.684979481869789</v>
      </c>
      <c r="AB30" s="51">
        <f>+AB13</f>
        <v>52.684979481869775</v>
      </c>
    </row>
    <row r="31" spans="1:28">
      <c r="A31" s="175" t="s">
        <v>88</v>
      </c>
      <c r="B31" s="38"/>
      <c r="C31" s="51"/>
      <c r="D31" s="51">
        <f>+H31</f>
        <v>0</v>
      </c>
      <c r="E31" s="51"/>
      <c r="F31" s="51"/>
      <c r="G31" s="51"/>
      <c r="H31" s="51"/>
      <c r="I31" s="51">
        <f>+D31</f>
        <v>0</v>
      </c>
      <c r="J31" s="51">
        <f t="shared" ref="J31:AB31" si="12">+I31</f>
        <v>0</v>
      </c>
      <c r="K31" s="51">
        <f t="shared" si="12"/>
        <v>0</v>
      </c>
      <c r="L31" s="51">
        <f t="shared" si="12"/>
        <v>0</v>
      </c>
      <c r="M31" s="51">
        <f t="shared" si="12"/>
        <v>0</v>
      </c>
      <c r="N31" s="51">
        <f t="shared" si="12"/>
        <v>0</v>
      </c>
      <c r="O31" s="51">
        <f t="shared" si="12"/>
        <v>0</v>
      </c>
      <c r="P31" s="51">
        <f t="shared" si="12"/>
        <v>0</v>
      </c>
      <c r="Q31" s="51">
        <f t="shared" si="12"/>
        <v>0</v>
      </c>
      <c r="R31" s="51">
        <f t="shared" si="12"/>
        <v>0</v>
      </c>
      <c r="S31" s="51">
        <f t="shared" si="12"/>
        <v>0</v>
      </c>
      <c r="T31" s="51">
        <f t="shared" si="12"/>
        <v>0</v>
      </c>
      <c r="U31" s="51">
        <f t="shared" si="12"/>
        <v>0</v>
      </c>
      <c r="V31" s="51">
        <f t="shared" si="12"/>
        <v>0</v>
      </c>
      <c r="W31" s="51">
        <f t="shared" si="12"/>
        <v>0</v>
      </c>
      <c r="X31" s="51">
        <f t="shared" si="12"/>
        <v>0</v>
      </c>
      <c r="Y31" s="51">
        <f t="shared" si="12"/>
        <v>0</v>
      </c>
      <c r="Z31" s="51">
        <f t="shared" si="12"/>
        <v>0</v>
      </c>
      <c r="AA31" s="51">
        <f t="shared" si="12"/>
        <v>0</v>
      </c>
      <c r="AB31" s="51">
        <f t="shared" si="12"/>
        <v>0</v>
      </c>
    </row>
    <row r="32" spans="1:28">
      <c r="A32" s="175" t="s">
        <v>89</v>
      </c>
      <c r="B32" s="38"/>
      <c r="C32" s="51">
        <f>54.4+7.9</f>
        <v>62.3</v>
      </c>
      <c r="D32" s="51">
        <f>+SUM(D35:D41)-SUM(D29:D31)</f>
        <v>490.97878291972302</v>
      </c>
      <c r="E32" s="51">
        <f>+SUM(E35:E41)-SUM(E29:E31)</f>
        <v>116.18367967450104</v>
      </c>
      <c r="F32" s="51">
        <f>+SUM(F35:F41)-SUM(F29:F31)</f>
        <v>214.82805186542646</v>
      </c>
      <c r="G32" s="51">
        <f>+SUM(G35:G41)-SUM(G29:G31)</f>
        <v>310.32096092474058</v>
      </c>
      <c r="H32" s="51">
        <f t="shared" ref="H32:Z32" si="13">+SUM(H35:H41)-SUM(H29:H31)</f>
        <v>490.97878291972302</v>
      </c>
      <c r="I32" s="51">
        <f t="shared" si="13"/>
        <v>491.05707651688044</v>
      </c>
      <c r="J32" s="51">
        <f>+SUM(J35:J41)-SUM(J29:J31)</f>
        <v>491.05707651688135</v>
      </c>
      <c r="K32" s="51">
        <f t="shared" si="13"/>
        <v>490.98693954598184</v>
      </c>
      <c r="L32" s="51">
        <f t="shared" si="13"/>
        <v>490.91539983566599</v>
      </c>
      <c r="M32" s="51">
        <f t="shared" si="13"/>
        <v>485.15727033114035</v>
      </c>
      <c r="N32" s="51">
        <f t="shared" si="13"/>
        <v>724.42470173550191</v>
      </c>
      <c r="O32" s="51">
        <f t="shared" si="13"/>
        <v>1148.2070218106592</v>
      </c>
      <c r="P32" s="51">
        <f t="shared" si="13"/>
        <v>1445.912020878206</v>
      </c>
      <c r="Q32" s="51">
        <f t="shared" si="13"/>
        <v>616.50293714478266</v>
      </c>
      <c r="R32" s="51">
        <f t="shared" si="13"/>
        <v>616.42237181153814</v>
      </c>
      <c r="S32" s="51">
        <f t="shared" si="13"/>
        <v>616.34019517162869</v>
      </c>
      <c r="T32" s="51">
        <f t="shared" si="13"/>
        <v>616.25637499892218</v>
      </c>
      <c r="U32" s="51">
        <f t="shared" si="13"/>
        <v>616.17087842276169</v>
      </c>
      <c r="V32" s="51">
        <f t="shared" si="13"/>
        <v>616.0836719150775</v>
      </c>
      <c r="W32" s="51">
        <f t="shared" si="13"/>
        <v>615.99472127723971</v>
      </c>
      <c r="X32" s="51">
        <f t="shared" si="13"/>
        <v>615.90399162664539</v>
      </c>
      <c r="Y32" s="51">
        <f t="shared" si="13"/>
        <v>615.81144738303851</v>
      </c>
      <c r="Z32" s="51">
        <f t="shared" si="13"/>
        <v>615.7170522545598</v>
      </c>
      <c r="AA32" s="51">
        <f>+SUM(AA35:AA41)-SUM(AA29:AA31)</f>
        <v>615.62076922351162</v>
      </c>
      <c r="AB32" s="51">
        <f>+SUM(AB35:AB41)-SUM(AB29:AB31)</f>
        <v>615.63786528184232</v>
      </c>
    </row>
    <row r="33" spans="1:28" s="14" customFormat="1">
      <c r="A33" s="176" t="s">
        <v>90</v>
      </c>
      <c r="B33" s="39"/>
      <c r="C33" s="52">
        <f t="shared" ref="C33:K33" si="14">SUM(C29:C32)</f>
        <v>10360.670536781741</v>
      </c>
      <c r="D33" s="52">
        <f t="shared" si="14"/>
        <v>8739.1671074666028</v>
      </c>
      <c r="E33" s="52">
        <f t="shared" si="14"/>
        <v>8622.0039588681993</v>
      </c>
      <c r="F33" s="52">
        <f t="shared" si="14"/>
        <v>8647.1334706559737</v>
      </c>
      <c r="G33" s="52">
        <f t="shared" si="14"/>
        <v>8636.2388797152871</v>
      </c>
      <c r="H33" s="52">
        <f t="shared" si="14"/>
        <v>8739.1671074666028</v>
      </c>
      <c r="I33" s="52">
        <f t="shared" si="14"/>
        <v>8292.8532877864272</v>
      </c>
      <c r="J33" s="52">
        <f t="shared" si="14"/>
        <v>7859.4874953074277</v>
      </c>
      <c r="K33" s="52">
        <f t="shared" si="14"/>
        <v>7433.867358336528</v>
      </c>
      <c r="L33" s="52">
        <f t="shared" ref="L33:AB33" si="15">SUM(L29:L32)</f>
        <v>7008.245818626212</v>
      </c>
      <c r="M33" s="52">
        <f t="shared" si="15"/>
        <v>6576.9376891216871</v>
      </c>
      <c r="N33" s="52">
        <f t="shared" si="15"/>
        <v>6390.6551205260475</v>
      </c>
      <c r="O33" s="52">
        <f t="shared" si="15"/>
        <v>6388.8874406012055</v>
      </c>
      <c r="P33" s="52">
        <f t="shared" si="15"/>
        <v>6261.0424396687513</v>
      </c>
      <c r="Q33" s="52">
        <f t="shared" si="15"/>
        <v>5006.0833559353287</v>
      </c>
      <c r="R33" s="52">
        <f t="shared" si="15"/>
        <v>4534.5198512934076</v>
      </c>
      <c r="S33" s="52">
        <f t="shared" si="15"/>
        <v>4108.8876746534979</v>
      </c>
      <c r="T33" s="52">
        <f t="shared" si="15"/>
        <v>3683.2538544807912</v>
      </c>
      <c r="U33" s="52">
        <f t="shared" si="15"/>
        <v>3257.6183579046306</v>
      </c>
      <c r="V33" s="52">
        <f t="shared" si="15"/>
        <v>2831.9811513969462</v>
      </c>
      <c r="W33" s="52">
        <f t="shared" si="15"/>
        <v>2406.342200759108</v>
      </c>
      <c r="X33" s="52">
        <f t="shared" si="15"/>
        <v>1980.7014711085135</v>
      </c>
      <c r="Y33" s="52">
        <f t="shared" si="15"/>
        <v>1555.0589268649064</v>
      </c>
      <c r="Z33" s="52">
        <f t="shared" si="15"/>
        <v>1129.4145317364275</v>
      </c>
      <c r="AA33" s="52">
        <f t="shared" si="15"/>
        <v>703.76824870537916</v>
      </c>
      <c r="AB33" s="52">
        <f t="shared" si="15"/>
        <v>668.32284476371206</v>
      </c>
    </row>
    <row r="34" spans="1:28">
      <c r="A34" s="30"/>
      <c r="B34" s="35"/>
      <c r="C34" s="48"/>
      <c r="D34" s="51"/>
      <c r="E34" s="51"/>
      <c r="F34" s="51"/>
      <c r="G34" s="51"/>
      <c r="H34" s="51"/>
      <c r="I34" s="51"/>
      <c r="J34" s="51"/>
      <c r="K34" s="51"/>
      <c r="L34" s="51"/>
      <c r="M34" s="51"/>
      <c r="N34" s="51"/>
      <c r="O34" s="51"/>
      <c r="P34" s="51"/>
      <c r="Q34" s="51"/>
      <c r="R34" s="51"/>
      <c r="S34" s="51"/>
      <c r="T34" s="51"/>
      <c r="U34" s="51"/>
      <c r="V34" s="51"/>
      <c r="W34" s="51"/>
      <c r="X34" s="51"/>
      <c r="Y34" s="51"/>
      <c r="Z34" s="51"/>
      <c r="AA34" s="51"/>
      <c r="AB34" s="51"/>
    </row>
    <row r="35" spans="1:28">
      <c r="A35" s="175" t="s">
        <v>91</v>
      </c>
      <c r="B35" s="38"/>
      <c r="C35" s="81">
        <v>868.86005560704371</v>
      </c>
      <c r="D35" s="51">
        <f t="shared" ref="D35:X36" si="16">+C35</f>
        <v>868.86005560704371</v>
      </c>
      <c r="E35" s="51">
        <f t="shared" si="16"/>
        <v>868.86005560704371</v>
      </c>
      <c r="F35" s="51">
        <f t="shared" si="16"/>
        <v>868.86005560704371</v>
      </c>
      <c r="G35" s="51">
        <f t="shared" si="16"/>
        <v>868.86005560704371</v>
      </c>
      <c r="H35" s="51">
        <f t="shared" si="16"/>
        <v>868.86005560704371</v>
      </c>
      <c r="I35" s="51">
        <f>+D35</f>
        <v>868.86005560704371</v>
      </c>
      <c r="J35" s="51">
        <f t="shared" si="16"/>
        <v>868.86005560704371</v>
      </c>
      <c r="K35" s="51">
        <f t="shared" si="16"/>
        <v>868.86005560704371</v>
      </c>
      <c r="L35" s="51">
        <f t="shared" si="16"/>
        <v>868.86005560704371</v>
      </c>
      <c r="M35" s="51">
        <f t="shared" si="16"/>
        <v>868.86005560704371</v>
      </c>
      <c r="N35" s="51">
        <f t="shared" si="16"/>
        <v>868.86005560704371</v>
      </c>
      <c r="O35" s="51">
        <f t="shared" si="16"/>
        <v>868.86005560704371</v>
      </c>
      <c r="P35" s="51">
        <f t="shared" si="16"/>
        <v>868.86005560704371</v>
      </c>
      <c r="Q35" s="51">
        <f t="shared" si="16"/>
        <v>868.86005560704371</v>
      </c>
      <c r="R35" s="51">
        <f t="shared" si="16"/>
        <v>868.86005560704371</v>
      </c>
      <c r="S35" s="51">
        <f t="shared" si="16"/>
        <v>868.86005560704371</v>
      </c>
      <c r="T35" s="51">
        <f t="shared" si="16"/>
        <v>868.86005560704371</v>
      </c>
      <c r="U35" s="51">
        <f t="shared" si="16"/>
        <v>868.86005560704371</v>
      </c>
      <c r="V35" s="51">
        <f t="shared" si="16"/>
        <v>868.86005560704371</v>
      </c>
      <c r="W35" s="51">
        <f t="shared" si="16"/>
        <v>868.86005560704371</v>
      </c>
      <c r="X35" s="51">
        <f t="shared" si="16"/>
        <v>868.86005560704371</v>
      </c>
      <c r="Y35" s="51">
        <f>+X35-SUM(Y52,Y56)</f>
        <v>868.86005560704371</v>
      </c>
      <c r="Z35" s="51">
        <f>+Y35+Z57</f>
        <v>868.86005560704371</v>
      </c>
      <c r="AA35" s="51">
        <f>+Z35+AA57</f>
        <v>660.30657514500263</v>
      </c>
      <c r="AB35" s="51">
        <f>+AA35+AB57</f>
        <v>630.1634501450045</v>
      </c>
    </row>
    <row r="36" spans="1:28">
      <c r="A36" s="175" t="s">
        <v>92</v>
      </c>
      <c r="B36" s="38"/>
      <c r="C36" s="51">
        <v>1.7377201112140872</v>
      </c>
      <c r="D36" s="51">
        <f t="shared" si="16"/>
        <v>1.7377201112140872</v>
      </c>
      <c r="E36" s="51">
        <f t="shared" si="16"/>
        <v>1.7377201112140872</v>
      </c>
      <c r="F36" s="51">
        <f t="shared" si="16"/>
        <v>1.7377201112140872</v>
      </c>
      <c r="G36" s="51">
        <f t="shared" si="16"/>
        <v>1.7377201112140872</v>
      </c>
      <c r="H36" s="51">
        <f t="shared" si="16"/>
        <v>1.7377201112140872</v>
      </c>
      <c r="I36" s="51">
        <f>+D36</f>
        <v>1.7377201112140872</v>
      </c>
      <c r="J36" s="51">
        <f t="shared" si="16"/>
        <v>1.7377201112140872</v>
      </c>
      <c r="K36" s="51">
        <f t="shared" si="16"/>
        <v>1.7377201112140872</v>
      </c>
      <c r="L36" s="51">
        <f t="shared" si="16"/>
        <v>1.7377201112140872</v>
      </c>
      <c r="M36" s="51">
        <f t="shared" si="16"/>
        <v>1.7377201112140872</v>
      </c>
      <c r="N36" s="51">
        <f t="shared" si="16"/>
        <v>1.7377201112140872</v>
      </c>
      <c r="O36" s="51">
        <f t="shared" si="16"/>
        <v>1.7377201112140872</v>
      </c>
      <c r="P36" s="51">
        <f t="shared" si="16"/>
        <v>1.7377201112140872</v>
      </c>
      <c r="Q36" s="51">
        <f t="shared" si="16"/>
        <v>1.7377201112140872</v>
      </c>
      <c r="R36" s="51">
        <f t="shared" si="16"/>
        <v>1.7377201112140872</v>
      </c>
      <c r="S36" s="51">
        <f t="shared" si="16"/>
        <v>1.7377201112140872</v>
      </c>
      <c r="T36" s="51">
        <f t="shared" si="16"/>
        <v>1.7377201112140872</v>
      </c>
      <c r="U36" s="51">
        <f t="shared" si="16"/>
        <v>1.7377201112140872</v>
      </c>
      <c r="V36" s="51">
        <f t="shared" si="16"/>
        <v>1.7377201112140872</v>
      </c>
      <c r="W36" s="51">
        <f t="shared" si="16"/>
        <v>1.7377201112140872</v>
      </c>
      <c r="X36" s="51">
        <f t="shared" si="16"/>
        <v>1.7377201112140872</v>
      </c>
      <c r="Y36" s="51">
        <f>+X36</f>
        <v>1.7377201112140872</v>
      </c>
      <c r="Z36" s="51">
        <f>+Y36</f>
        <v>1.7377201112140872</v>
      </c>
      <c r="AA36" s="51">
        <f>+Z36</f>
        <v>1.7377201112140872</v>
      </c>
      <c r="AB36" s="51">
        <f>+AA36</f>
        <v>1.7377201112140872</v>
      </c>
    </row>
    <row r="37" spans="1:28">
      <c r="A37" s="175" t="s">
        <v>93</v>
      </c>
      <c r="B37" s="38"/>
      <c r="C37" s="81">
        <f>51.08+C26</f>
        <v>-13.208418095458754</v>
      </c>
      <c r="D37" s="51">
        <f>+D26+C37</f>
        <v>215.26785695325287</v>
      </c>
      <c r="E37" s="51">
        <f>+C37+E26</f>
        <v>-40.132961688082766</v>
      </c>
      <c r="F37" s="51">
        <f>+E37+F26</f>
        <v>15.635687985225886</v>
      </c>
      <c r="G37" s="51">
        <f>+F37+G26</f>
        <v>72.310679465763457</v>
      </c>
      <c r="H37" s="51">
        <f>+G37+H26</f>
        <v>215.26785695325285</v>
      </c>
      <c r="I37" s="51">
        <f>+D37+I26+I56</f>
        <v>547.25869290885294</v>
      </c>
      <c r="J37" s="51">
        <f t="shared" ref="J37:O37" si="17">+I37+J26+J56</f>
        <v>824.53650732197309</v>
      </c>
      <c r="K37" s="51">
        <f t="shared" si="17"/>
        <v>1137.1451054448428</v>
      </c>
      <c r="L37" s="51">
        <f t="shared" si="17"/>
        <v>1486.6664576757671</v>
      </c>
      <c r="M37" s="51">
        <f t="shared" si="17"/>
        <v>1806.5276747627747</v>
      </c>
      <c r="N37" s="51">
        <f t="shared" si="17"/>
        <v>2163.2673816151446</v>
      </c>
      <c r="O37" s="51">
        <f t="shared" si="17"/>
        <v>2546.552787475689</v>
      </c>
      <c r="P37" s="51">
        <f t="shared" ref="P37:AB37" si="18">+O37+P26+P56</f>
        <v>2969.3569401988802</v>
      </c>
      <c r="Q37" s="51">
        <f t="shared" si="18"/>
        <v>3408.6215195379586</v>
      </c>
      <c r="R37" s="51">
        <f t="shared" si="18"/>
        <v>3046.9040195379584</v>
      </c>
      <c r="S37" s="51">
        <f t="shared" si="18"/>
        <v>2685.1865195379582</v>
      </c>
      <c r="T37" s="51">
        <f t="shared" si="18"/>
        <v>2323.4690195379585</v>
      </c>
      <c r="U37" s="51">
        <f t="shared" si="18"/>
        <v>1961.7515195379588</v>
      </c>
      <c r="V37" s="51">
        <f t="shared" si="18"/>
        <v>1600.0340195379588</v>
      </c>
      <c r="W37" s="51">
        <f t="shared" si="18"/>
        <v>1238.3165195379588</v>
      </c>
      <c r="X37" s="51">
        <f t="shared" si="18"/>
        <v>876.59901953795884</v>
      </c>
      <c r="Y37" s="51">
        <f t="shared" si="18"/>
        <v>514.88151953795887</v>
      </c>
      <c r="Z37" s="51">
        <f t="shared" si="18"/>
        <v>153.16401953795889</v>
      </c>
      <c r="AA37" s="51">
        <f t="shared" si="18"/>
        <v>0</v>
      </c>
      <c r="AB37" s="51">
        <f t="shared" si="18"/>
        <v>0</v>
      </c>
    </row>
    <row r="38" spans="1:28">
      <c r="A38" s="175" t="s">
        <v>94</v>
      </c>
      <c r="B38" s="38"/>
      <c r="C38" s="51">
        <f>-C25+B38</f>
        <v>0</v>
      </c>
      <c r="D38" s="51">
        <f>-D25+C38</f>
        <v>87.769687500000003</v>
      </c>
      <c r="E38" s="51">
        <f>-E25+C38</f>
        <v>15.958124999999999</v>
      </c>
      <c r="F38" s="51">
        <f>-F25+E38</f>
        <v>39.895312500000003</v>
      </c>
      <c r="G38" s="51">
        <f>-G25+F38</f>
        <v>63.832500000000003</v>
      </c>
      <c r="H38" s="51">
        <f>-H25+G38</f>
        <v>87.769687500000003</v>
      </c>
      <c r="I38" s="51">
        <f>-I25+D38</f>
        <v>183.5184375</v>
      </c>
      <c r="J38" s="51">
        <f>-J25+I38</f>
        <v>279.26718749999998</v>
      </c>
      <c r="K38" s="51">
        <f t="shared" ref="K38:AB38" si="19">-K25+J38</f>
        <v>375.01593749999995</v>
      </c>
      <c r="L38" s="51">
        <f t="shared" si="19"/>
        <v>470.76468749999992</v>
      </c>
      <c r="M38" s="51">
        <f t="shared" si="19"/>
        <v>566.5134374999999</v>
      </c>
      <c r="N38" s="51">
        <f t="shared" si="19"/>
        <v>662.26218749999987</v>
      </c>
      <c r="O38" s="51">
        <f t="shared" si="19"/>
        <v>758.01093749999984</v>
      </c>
      <c r="P38" s="51">
        <f t="shared" si="19"/>
        <v>707.47687499999984</v>
      </c>
      <c r="Q38" s="51">
        <f t="shared" si="19"/>
        <v>643.64437499999985</v>
      </c>
      <c r="R38" s="51">
        <f t="shared" si="19"/>
        <v>579.81187499999987</v>
      </c>
      <c r="S38" s="51">
        <f t="shared" si="19"/>
        <v>515.97937499999989</v>
      </c>
      <c r="T38" s="51">
        <f t="shared" si="19"/>
        <v>452.14687499999991</v>
      </c>
      <c r="U38" s="51">
        <f t="shared" si="19"/>
        <v>388.31437499999993</v>
      </c>
      <c r="V38" s="51">
        <f t="shared" si="19"/>
        <v>324.48187499999995</v>
      </c>
      <c r="W38" s="51">
        <f t="shared" si="19"/>
        <v>260.64937499999996</v>
      </c>
      <c r="X38" s="51">
        <f t="shared" si="19"/>
        <v>196.81687499999998</v>
      </c>
      <c r="Y38" s="51">
        <f t="shared" si="19"/>
        <v>132.984375</v>
      </c>
      <c r="Z38" s="51">
        <f t="shared" si="19"/>
        <v>69.151875000000004</v>
      </c>
      <c r="AA38" s="51">
        <f t="shared" si="19"/>
        <v>5.319375000000008</v>
      </c>
      <c r="AB38" s="51">
        <f t="shared" si="19"/>
        <v>3.3573144264664734E-13</v>
      </c>
    </row>
    <row r="39" spans="1:28">
      <c r="A39" s="175" t="s">
        <v>95</v>
      </c>
      <c r="B39" s="38"/>
      <c r="C39" s="51">
        <f>+'Additional data'!C7</f>
        <v>7183.7282999999989</v>
      </c>
      <c r="D39" s="51">
        <f>+'Additional data'!D7</f>
        <v>5128.0142997598778</v>
      </c>
      <c r="E39" s="51">
        <f>+'Additional data'!E7</f>
        <v>5402.5433397042707</v>
      </c>
      <c r="F39" s="51">
        <f>+'Additional data'!F7</f>
        <v>5311.9429115902767</v>
      </c>
      <c r="G39" s="51">
        <f>+'Additional data'!G7</f>
        <v>5220.4361416690535</v>
      </c>
      <c r="H39" s="51">
        <f>+'Additional data'!H7</f>
        <v>5128.0142997598787</v>
      </c>
      <c r="I39" s="51">
        <f>+'Additional data'!I7</f>
        <v>4748.9989699554299</v>
      </c>
      <c r="J39" s="51">
        <f>+'Additional data'!J7</f>
        <v>4354.6208647530184</v>
      </c>
      <c r="K39" s="51">
        <f>+'Additional data'!K7</f>
        <v>3944.2802551506052</v>
      </c>
      <c r="L39" s="51">
        <f>+'Additional data'!L7</f>
        <v>3517.3467518423563</v>
      </c>
      <c r="M39" s="51">
        <f>+'Additional data'!M7</f>
        <v>3073.1701595698787</v>
      </c>
      <c r="N39" s="51">
        <f>+'Additional data'!N7</f>
        <v>2611.0710872974005</v>
      </c>
      <c r="O39" s="51">
        <f>+'Additional data'!O7</f>
        <v>2130.3451700249211</v>
      </c>
      <c r="P39" s="51">
        <f>+'Additional data'!P7</f>
        <v>1630.3075157524381</v>
      </c>
      <c r="Q39" s="51">
        <f>+'Additional data'!Q7</f>
        <v>-4.6616992349299835E-3</v>
      </c>
      <c r="R39" s="51">
        <f>+'Additional data'!R7</f>
        <v>-4.6616992349299835E-3</v>
      </c>
      <c r="S39" s="51">
        <f>+'Additional data'!S7</f>
        <v>-4.6616992349299835E-3</v>
      </c>
      <c r="T39" s="51">
        <f>+'Additional data'!T7</f>
        <v>-4.6616992349299835E-3</v>
      </c>
      <c r="U39" s="51">
        <f>+'Additional data'!U7</f>
        <v>-4.6616992349299835E-3</v>
      </c>
      <c r="V39" s="51">
        <f>+'Additional data'!V7</f>
        <v>-4.6616992349299835E-3</v>
      </c>
      <c r="W39" s="51">
        <f>+'Additional data'!W7</f>
        <v>-4.6616992349299835E-3</v>
      </c>
      <c r="X39" s="51">
        <f>+'Additional data'!X7</f>
        <v>-4.6616992349299835E-3</v>
      </c>
      <c r="Y39" s="51">
        <f>+'Additional data'!Y7</f>
        <v>-4.6616992349299835E-3</v>
      </c>
      <c r="Z39" s="51">
        <f>+'Additional data'!Z7</f>
        <v>-4.6616992349299835E-3</v>
      </c>
      <c r="AA39" s="51">
        <f>+'Additional data'!AA7</f>
        <v>-4.6616992349299835E-3</v>
      </c>
      <c r="AB39" s="51">
        <f>+'Additional data'!AB7</f>
        <v>-4.6616992349299835E-3</v>
      </c>
    </row>
    <row r="40" spans="1:28">
      <c r="A40" s="175" t="s">
        <v>96</v>
      </c>
      <c r="B40" s="38"/>
      <c r="C40" s="51">
        <f>+'Additional data'!C15</f>
        <v>2319.5069508804399</v>
      </c>
      <c r="D40" s="51">
        <f>+'Additional data'!D15</f>
        <v>2319.5069508804399</v>
      </c>
      <c r="E40" s="51">
        <f>+'Additional data'!E15</f>
        <v>2319.5069508804399</v>
      </c>
      <c r="F40" s="51">
        <f>+'Additional data'!F15</f>
        <v>2319.5069508804399</v>
      </c>
      <c r="G40" s="51">
        <f>+'Additional data'!G15</f>
        <v>2319.5069508804399</v>
      </c>
      <c r="H40" s="51">
        <f>+'Additional data'!H15</f>
        <v>2319.5069508804399</v>
      </c>
      <c r="I40" s="51">
        <f>+'Additional data'!I15</f>
        <v>1845.2326947292886</v>
      </c>
      <c r="J40" s="51">
        <f>+'Additional data'!J15</f>
        <v>1441.0342355185799</v>
      </c>
      <c r="K40" s="51">
        <f>+'Additional data'!K15</f>
        <v>1017.4674969981235</v>
      </c>
      <c r="L40" s="51">
        <f>+'Additional data'!L15</f>
        <v>573.58089807544775</v>
      </c>
      <c r="M40" s="51">
        <f>+'Additional data'!M15</f>
        <v>176.5975232609178</v>
      </c>
      <c r="N40" s="51">
        <f>+'Additional data'!N15</f>
        <v>0</v>
      </c>
      <c r="O40" s="51">
        <f>+'Additional data'!O15</f>
        <v>0</v>
      </c>
      <c r="P40" s="51">
        <f>+'Additional data'!P15</f>
        <v>0</v>
      </c>
      <c r="Q40" s="51">
        <f>+'Additional data'!Q15</f>
        <v>0</v>
      </c>
      <c r="R40" s="51">
        <f>+'Additional data'!R15</f>
        <v>0</v>
      </c>
      <c r="S40" s="51">
        <f>+'Additional data'!S15</f>
        <v>0</v>
      </c>
      <c r="T40" s="51">
        <f>+'Additional data'!T15</f>
        <v>0</v>
      </c>
      <c r="U40" s="51">
        <f>+'Additional data'!U15</f>
        <v>0</v>
      </c>
      <c r="V40" s="51">
        <f>+'Additional data'!V15</f>
        <v>0</v>
      </c>
      <c r="W40" s="51">
        <f>+'Additional data'!W15</f>
        <v>0</v>
      </c>
      <c r="X40" s="51">
        <f>+'Additional data'!X15</f>
        <v>0</v>
      </c>
      <c r="Y40" s="51">
        <f>+'Additional data'!Y15</f>
        <v>0</v>
      </c>
      <c r="Z40" s="51">
        <f>+'Additional data'!Z15</f>
        <v>0</v>
      </c>
      <c r="AA40" s="51">
        <f>+'Additional data'!AA15</f>
        <v>0</v>
      </c>
      <c r="AB40" s="51">
        <f>+'Additional data'!AB15</f>
        <v>0</v>
      </c>
    </row>
    <row r="41" spans="1:28">
      <c r="A41" s="175" t="s">
        <v>97</v>
      </c>
      <c r="B41" s="38"/>
      <c r="C41" s="51">
        <f>+B41</f>
        <v>0</v>
      </c>
      <c r="D41" s="51">
        <f>+H41</f>
        <v>118.01053665477325</v>
      </c>
      <c r="E41" s="51">
        <f>+E19/3</f>
        <v>53.530729253313304</v>
      </c>
      <c r="F41" s="51">
        <f>+F19/3</f>
        <v>89.554831981773233</v>
      </c>
      <c r="G41" s="51">
        <f>+G19/3</f>
        <v>89.554831981773233</v>
      </c>
      <c r="H41" s="51">
        <f>+H19/3</f>
        <v>118.01053665477325</v>
      </c>
      <c r="I41" s="51">
        <f t="shared" ref="I41:Q41" si="20">+I19/12</f>
        <v>97.24671697459776</v>
      </c>
      <c r="J41" s="51">
        <f t="shared" si="20"/>
        <v>89.430924495597765</v>
      </c>
      <c r="K41" s="51">
        <f t="shared" si="20"/>
        <v>89.360787524698779</v>
      </c>
      <c r="L41" s="51">
        <f t="shared" si="20"/>
        <v>89.289247814381824</v>
      </c>
      <c r="M41" s="51">
        <f t="shared" si="20"/>
        <v>83.531118309858527</v>
      </c>
      <c r="N41" s="51">
        <f t="shared" si="20"/>
        <v>83.456688395244768</v>
      </c>
      <c r="O41" s="51">
        <f t="shared" si="20"/>
        <v>83.380769882338726</v>
      </c>
      <c r="P41" s="51">
        <f t="shared" si="20"/>
        <v>83.303332999174557</v>
      </c>
      <c r="Q41" s="51">
        <f t="shared" si="20"/>
        <v>83.224347378347105</v>
      </c>
      <c r="R41" s="51">
        <f t="shared" ref="R41:AA41" si="21">+R19/12</f>
        <v>37.210842736426116</v>
      </c>
      <c r="S41" s="51">
        <f t="shared" si="21"/>
        <v>37.128666096517243</v>
      </c>
      <c r="T41" s="51">
        <f t="shared" si="21"/>
        <v>37.044845923810193</v>
      </c>
      <c r="U41" s="51">
        <f t="shared" si="21"/>
        <v>36.959349347649002</v>
      </c>
      <c r="V41" s="51">
        <f t="shared" si="21"/>
        <v>36.872142839964589</v>
      </c>
      <c r="W41" s="51">
        <f t="shared" si="21"/>
        <v>36.783192202126479</v>
      </c>
      <c r="X41" s="51">
        <f t="shared" si="21"/>
        <v>36.692462551531612</v>
      </c>
      <c r="Y41" s="51">
        <f t="shared" si="21"/>
        <v>36.599918307924852</v>
      </c>
      <c r="Z41" s="51">
        <f t="shared" si="21"/>
        <v>36.505523179445952</v>
      </c>
      <c r="AA41" s="51">
        <f t="shared" si="21"/>
        <v>36.40924014839748</v>
      </c>
      <c r="AB41" s="51">
        <f>+AB19</f>
        <v>36.42633620672801</v>
      </c>
    </row>
    <row r="42" spans="1:28">
      <c r="A42" s="176" t="s">
        <v>98</v>
      </c>
      <c r="B42" s="39"/>
      <c r="C42" s="52">
        <f>SUM(C35:C41)</f>
        <v>10360.624608503238</v>
      </c>
      <c r="D42" s="52">
        <f>SUM(D35:D41)</f>
        <v>8739.1671074666028</v>
      </c>
      <c r="E42" s="52">
        <f>SUM(E35:E41)</f>
        <v>8622.0039588681993</v>
      </c>
      <c r="F42" s="52">
        <f t="shared" ref="F42:AB42" si="22">SUM(F35:F41)</f>
        <v>8647.1334706559737</v>
      </c>
      <c r="G42" s="52">
        <f t="shared" si="22"/>
        <v>8636.2388797152871</v>
      </c>
      <c r="H42" s="52">
        <f t="shared" si="22"/>
        <v>8739.1671074666028</v>
      </c>
      <c r="I42" s="52">
        <f t="shared" si="22"/>
        <v>8292.8532877864272</v>
      </c>
      <c r="J42" s="52">
        <f t="shared" si="22"/>
        <v>7859.4874953074277</v>
      </c>
      <c r="K42" s="52">
        <f t="shared" si="22"/>
        <v>7433.867358336528</v>
      </c>
      <c r="L42" s="52">
        <f t="shared" si="22"/>
        <v>7008.245818626212</v>
      </c>
      <c r="M42" s="52">
        <f t="shared" si="22"/>
        <v>6576.9376891216871</v>
      </c>
      <c r="N42" s="52">
        <f t="shared" si="22"/>
        <v>6390.6551205260475</v>
      </c>
      <c r="O42" s="52">
        <f t="shared" si="22"/>
        <v>6388.8874406012055</v>
      </c>
      <c r="P42" s="52">
        <f t="shared" si="22"/>
        <v>6261.0424396687513</v>
      </c>
      <c r="Q42" s="52">
        <f t="shared" si="22"/>
        <v>5006.0833559353287</v>
      </c>
      <c r="R42" s="52">
        <f t="shared" si="22"/>
        <v>4534.5198512934076</v>
      </c>
      <c r="S42" s="52">
        <f t="shared" si="22"/>
        <v>4108.8876746534979</v>
      </c>
      <c r="T42" s="52">
        <f t="shared" si="22"/>
        <v>3683.2538544807912</v>
      </c>
      <c r="U42" s="52">
        <f t="shared" si="22"/>
        <v>3257.6183579046306</v>
      </c>
      <c r="V42" s="52">
        <f t="shared" si="22"/>
        <v>2831.9811513969462</v>
      </c>
      <c r="W42" s="52">
        <f t="shared" si="22"/>
        <v>2406.342200759108</v>
      </c>
      <c r="X42" s="52">
        <f t="shared" si="22"/>
        <v>1980.7014711085135</v>
      </c>
      <c r="Y42" s="52">
        <f t="shared" si="22"/>
        <v>1555.0589268649064</v>
      </c>
      <c r="Z42" s="52">
        <f t="shared" si="22"/>
        <v>1129.4145317364275</v>
      </c>
      <c r="AA42" s="52">
        <f t="shared" si="22"/>
        <v>703.76824870537928</v>
      </c>
      <c r="AB42" s="52">
        <f t="shared" si="22"/>
        <v>668.32284476371206</v>
      </c>
    </row>
    <row r="43" spans="1:28" s="22" customFormat="1" ht="12" thickBot="1">
      <c r="A43" s="31"/>
      <c r="B43" s="54"/>
      <c r="C43" s="54">
        <f t="shared" ref="C43:AB43" si="23">+C33-C42</f>
        <v>4.5928278503197362E-2</v>
      </c>
      <c r="D43" s="54">
        <f>+D33-D42</f>
        <v>0</v>
      </c>
      <c r="E43" s="54">
        <f t="shared" si="23"/>
        <v>0</v>
      </c>
      <c r="F43" s="54">
        <f t="shared" si="23"/>
        <v>0</v>
      </c>
      <c r="G43" s="54">
        <f t="shared" si="23"/>
        <v>0</v>
      </c>
      <c r="H43" s="54">
        <f t="shared" si="23"/>
        <v>0</v>
      </c>
      <c r="I43" s="54">
        <f t="shared" si="23"/>
        <v>0</v>
      </c>
      <c r="J43" s="54">
        <f t="shared" si="23"/>
        <v>0</v>
      </c>
      <c r="K43" s="54">
        <f t="shared" si="23"/>
        <v>0</v>
      </c>
      <c r="L43" s="54">
        <f t="shared" si="23"/>
        <v>0</v>
      </c>
      <c r="M43" s="54">
        <f t="shared" si="23"/>
        <v>0</v>
      </c>
      <c r="N43" s="54">
        <f t="shared" si="23"/>
        <v>0</v>
      </c>
      <c r="O43" s="54">
        <f t="shared" si="23"/>
        <v>0</v>
      </c>
      <c r="P43" s="54">
        <f t="shared" si="23"/>
        <v>0</v>
      </c>
      <c r="Q43" s="54">
        <f t="shared" si="23"/>
        <v>0</v>
      </c>
      <c r="R43" s="54">
        <f t="shared" si="23"/>
        <v>0</v>
      </c>
      <c r="S43" s="54">
        <f t="shared" si="23"/>
        <v>0</v>
      </c>
      <c r="T43" s="54">
        <f t="shared" si="23"/>
        <v>0</v>
      </c>
      <c r="U43" s="54">
        <f t="shared" si="23"/>
        <v>0</v>
      </c>
      <c r="V43" s="54">
        <f t="shared" si="23"/>
        <v>0</v>
      </c>
      <c r="W43" s="54">
        <f t="shared" si="23"/>
        <v>0</v>
      </c>
      <c r="X43" s="54">
        <f t="shared" si="23"/>
        <v>0</v>
      </c>
      <c r="Y43" s="54">
        <f t="shared" si="23"/>
        <v>0</v>
      </c>
      <c r="Z43" s="54">
        <f t="shared" si="23"/>
        <v>0</v>
      </c>
      <c r="AA43" s="54">
        <f t="shared" si="23"/>
        <v>0</v>
      </c>
      <c r="AB43" s="54">
        <f t="shared" si="23"/>
        <v>0</v>
      </c>
    </row>
    <row r="44" spans="1:28" s="11" customFormat="1">
      <c r="A44" s="33" t="s">
        <v>99</v>
      </c>
      <c r="B44" s="33"/>
      <c r="C44" s="46">
        <v>2010</v>
      </c>
      <c r="D44" s="46">
        <v>2011</v>
      </c>
      <c r="E44" s="46" t="s">
        <v>14</v>
      </c>
      <c r="F44" s="46" t="s">
        <v>15</v>
      </c>
      <c r="G44" s="46" t="s">
        <v>16</v>
      </c>
      <c r="H44" s="46" t="s">
        <v>17</v>
      </c>
      <c r="I44" s="46">
        <v>2012</v>
      </c>
      <c r="J44" s="46">
        <v>2013</v>
      </c>
      <c r="K44" s="46">
        <v>2014</v>
      </c>
      <c r="L44" s="46">
        <v>2015</v>
      </c>
      <c r="M44" s="46">
        <v>2016</v>
      </c>
      <c r="N44" s="46">
        <v>2017</v>
      </c>
      <c r="O44" s="46">
        <v>2018</v>
      </c>
      <c r="P44" s="46">
        <v>2019</v>
      </c>
      <c r="Q44" s="46">
        <v>2020</v>
      </c>
      <c r="R44" s="46">
        <v>2021</v>
      </c>
      <c r="S44" s="46">
        <v>2022</v>
      </c>
      <c r="T44" s="46">
        <v>2023</v>
      </c>
      <c r="U44" s="46">
        <v>2024</v>
      </c>
      <c r="V44" s="46">
        <v>2025</v>
      </c>
      <c r="W44" s="46">
        <v>2026</v>
      </c>
      <c r="X44" s="46">
        <v>2027</v>
      </c>
      <c r="Y44" s="46">
        <v>2028</v>
      </c>
      <c r="Z44" s="46">
        <v>2029</v>
      </c>
      <c r="AA44" s="46">
        <v>2030</v>
      </c>
      <c r="AB44" s="46">
        <v>2031</v>
      </c>
    </row>
    <row r="45" spans="1:28">
      <c r="A45" s="176"/>
      <c r="B45" s="39"/>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row>
    <row r="46" spans="1:28">
      <c r="A46" s="175" t="s">
        <v>12</v>
      </c>
      <c r="B46" s="39"/>
      <c r="C46" s="53">
        <f>+C19</f>
        <v>-22.867241079703426</v>
      </c>
      <c r="D46" s="53">
        <f t="shared" ref="D46:AA46" si="24">+D19</f>
        <v>1051.9527896148991</v>
      </c>
      <c r="E46" s="53">
        <f>+E19</f>
        <v>160.59218775993992</v>
      </c>
      <c r="F46" s="53">
        <f>+F19</f>
        <v>268.66449594531969</v>
      </c>
      <c r="G46" s="53">
        <f>+G19</f>
        <v>268.66449594531969</v>
      </c>
      <c r="H46" s="53">
        <f>+H19</f>
        <v>354.03160996431973</v>
      </c>
      <c r="I46" s="53">
        <f t="shared" si="24"/>
        <v>1166.9606036951732</v>
      </c>
      <c r="J46" s="53">
        <f t="shared" si="24"/>
        <v>1073.1710939471732</v>
      </c>
      <c r="K46" s="53">
        <f t="shared" si="24"/>
        <v>1072.3294502963854</v>
      </c>
      <c r="L46" s="53">
        <f t="shared" si="24"/>
        <v>1071.4709737725818</v>
      </c>
      <c r="M46" s="53">
        <f t="shared" si="24"/>
        <v>1002.3734197183023</v>
      </c>
      <c r="N46" s="53">
        <f t="shared" si="24"/>
        <v>1001.4802607429372</v>
      </c>
      <c r="O46" s="53">
        <f t="shared" si="24"/>
        <v>1000.5692385880646</v>
      </c>
      <c r="P46" s="53">
        <f t="shared" si="24"/>
        <v>999.63999599009469</v>
      </c>
      <c r="Q46" s="53">
        <f t="shared" si="24"/>
        <v>998.69216854016531</v>
      </c>
      <c r="R46" s="53">
        <f t="shared" si="24"/>
        <v>446.53011283711339</v>
      </c>
      <c r="S46" s="53">
        <f t="shared" si="24"/>
        <v>445.54399315820694</v>
      </c>
      <c r="T46" s="53">
        <f t="shared" si="24"/>
        <v>444.53815108572235</v>
      </c>
      <c r="U46" s="53">
        <f t="shared" si="24"/>
        <v>443.512192171788</v>
      </c>
      <c r="V46" s="53">
        <f t="shared" si="24"/>
        <v>442.46571407957504</v>
      </c>
      <c r="W46" s="53">
        <f t="shared" si="24"/>
        <v>441.39830642551777</v>
      </c>
      <c r="X46" s="53">
        <f t="shared" si="24"/>
        <v>440.30955061837938</v>
      </c>
      <c r="Y46" s="53">
        <f t="shared" si="24"/>
        <v>439.19901969509823</v>
      </c>
      <c r="Z46" s="53">
        <f t="shared" si="24"/>
        <v>438.06627815335139</v>
      </c>
      <c r="AA46" s="53">
        <f t="shared" si="24"/>
        <v>436.91088178076973</v>
      </c>
      <c r="AB46" s="53">
        <f>+AB19</f>
        <v>36.42633620672801</v>
      </c>
    </row>
    <row r="47" spans="1:28">
      <c r="A47" s="175" t="s">
        <v>100</v>
      </c>
      <c r="B47" s="39"/>
      <c r="C47" s="53">
        <f>+'Additional data'!C41</f>
        <v>0</v>
      </c>
      <c r="D47" s="53">
        <f>+'Additional data'!D41</f>
        <v>0</v>
      </c>
      <c r="E47" s="53">
        <f>+'Additional data'!E41</f>
        <v>0</v>
      </c>
      <c r="F47" s="53">
        <f>+'Additional data'!F41</f>
        <v>0</v>
      </c>
      <c r="G47" s="53">
        <f>+'Additional data'!G41</f>
        <v>0</v>
      </c>
      <c r="H47" s="53">
        <f>+'Additional data'!H41</f>
        <v>0</v>
      </c>
      <c r="I47" s="53">
        <f>+'Additional data'!I41</f>
        <v>0</v>
      </c>
      <c r="J47" s="53">
        <f>+'Additional data'!J41</f>
        <v>0</v>
      </c>
      <c r="K47" s="53">
        <f>+'Additional data'!K41</f>
        <v>0</v>
      </c>
      <c r="L47" s="53">
        <f>+'Additional data'!L41</f>
        <v>0</v>
      </c>
      <c r="M47" s="53">
        <f>+'Additional data'!M41</f>
        <v>0</v>
      </c>
      <c r="N47" s="53">
        <f>+'Additional data'!N41</f>
        <v>0</v>
      </c>
      <c r="O47" s="53">
        <f>+'Additional data'!O41</f>
        <v>0</v>
      </c>
      <c r="P47" s="53">
        <f>+'Additional data'!P41</f>
        <v>0</v>
      </c>
      <c r="Q47" s="53">
        <f>+'Additional data'!Q41</f>
        <v>-46.484015824648168</v>
      </c>
      <c r="R47" s="53">
        <f>+'Additional data'!R41</f>
        <v>-66.979544818844374</v>
      </c>
      <c r="S47" s="53">
        <f>+'Additional data'!S41</f>
        <v>-66.83162686700841</v>
      </c>
      <c r="T47" s="53">
        <f>+'Additional data'!T41</f>
        <v>-66.68075055613572</v>
      </c>
      <c r="U47" s="53">
        <f>+'Additional data'!U41</f>
        <v>-66.526856719045568</v>
      </c>
      <c r="V47" s="53">
        <f>+'Additional data'!V41</f>
        <v>-66.369885005213618</v>
      </c>
      <c r="W47" s="53">
        <f>+'Additional data'!W41</f>
        <v>-66.209773857105034</v>
      </c>
      <c r="X47" s="53">
        <f>+'Additional data'!X41</f>
        <v>-66.046460486034277</v>
      </c>
      <c r="Y47" s="53">
        <f>+'Additional data'!Y41</f>
        <v>-65.879880847542097</v>
      </c>
      <c r="Z47" s="53">
        <f>+'Additional data'!Z41</f>
        <v>-65.709969616280077</v>
      </c>
      <c r="AA47" s="53">
        <f>+'Additional data'!AA41</f>
        <v>-65.536660160392827</v>
      </c>
      <c r="AB47" s="53">
        <f>+'Additional data'!AB41</f>
        <v>-5.4639783242865736</v>
      </c>
    </row>
    <row r="48" spans="1:28">
      <c r="A48" s="175" t="s">
        <v>101</v>
      </c>
      <c r="B48" s="39"/>
      <c r="C48" s="53">
        <f>-'Initial data'!$C$55</f>
        <v>-8511</v>
      </c>
      <c r="D48" s="53">
        <v>0</v>
      </c>
      <c r="E48" s="53">
        <v>0</v>
      </c>
      <c r="F48" s="53">
        <v>0</v>
      </c>
      <c r="G48" s="53">
        <v>0</v>
      </c>
      <c r="H48" s="53">
        <v>0</v>
      </c>
      <c r="I48" s="53">
        <v>0</v>
      </c>
      <c r="J48" s="53">
        <v>0</v>
      </c>
      <c r="K48" s="53">
        <v>0</v>
      </c>
      <c r="L48" s="53">
        <v>0</v>
      </c>
      <c r="M48" s="53">
        <v>0</v>
      </c>
      <c r="N48" s="53">
        <v>0</v>
      </c>
      <c r="O48" s="53">
        <v>0</v>
      </c>
      <c r="P48" s="53">
        <v>0</v>
      </c>
      <c r="Q48" s="53">
        <v>0</v>
      </c>
      <c r="R48" s="53">
        <v>0</v>
      </c>
      <c r="S48" s="53">
        <v>0</v>
      </c>
      <c r="T48" s="53">
        <v>0</v>
      </c>
      <c r="U48" s="53">
        <v>0</v>
      </c>
      <c r="V48" s="53">
        <v>0</v>
      </c>
      <c r="W48" s="53">
        <v>0</v>
      </c>
      <c r="X48" s="53">
        <v>0</v>
      </c>
      <c r="Y48" s="53">
        <v>0</v>
      </c>
      <c r="Z48" s="53">
        <v>0</v>
      </c>
      <c r="AA48" s="53">
        <v>0</v>
      </c>
      <c r="AB48" s="53">
        <v>0</v>
      </c>
    </row>
    <row r="49" spans="1:29">
      <c r="A49" s="175" t="s">
        <v>102</v>
      </c>
      <c r="B49" s="39"/>
      <c r="C49" s="53">
        <f>+'Additional data'!C5</f>
        <v>10262.475629999999</v>
      </c>
      <c r="D49" s="53">
        <v>0</v>
      </c>
      <c r="E49" s="53">
        <v>0</v>
      </c>
      <c r="F49" s="53">
        <v>0</v>
      </c>
      <c r="G49" s="53">
        <v>0</v>
      </c>
      <c r="H49" s="53">
        <v>0</v>
      </c>
      <c r="I49" s="53">
        <v>0</v>
      </c>
      <c r="J49" s="53">
        <v>0</v>
      </c>
      <c r="K49" s="53">
        <v>0</v>
      </c>
      <c r="L49" s="53">
        <v>0</v>
      </c>
      <c r="M49" s="53">
        <v>0</v>
      </c>
      <c r="N49" s="53">
        <v>0</v>
      </c>
      <c r="O49" s="53">
        <v>0</v>
      </c>
      <c r="P49" s="53">
        <v>0</v>
      </c>
      <c r="Q49" s="53">
        <v>0</v>
      </c>
      <c r="R49" s="53">
        <v>0</v>
      </c>
      <c r="S49" s="53">
        <v>0</v>
      </c>
      <c r="T49" s="53">
        <v>0</v>
      </c>
      <c r="U49" s="53">
        <v>0</v>
      </c>
      <c r="V49" s="53">
        <v>0</v>
      </c>
      <c r="W49" s="53">
        <v>0</v>
      </c>
      <c r="X49" s="53">
        <v>0</v>
      </c>
      <c r="Y49" s="53">
        <v>0</v>
      </c>
      <c r="Z49" s="53">
        <v>0</v>
      </c>
      <c r="AA49" s="53">
        <v>0</v>
      </c>
      <c r="AB49" s="53">
        <v>0</v>
      </c>
    </row>
    <row r="50" spans="1:29">
      <c r="A50" s="175" t="s">
        <v>103</v>
      </c>
      <c r="B50" s="39"/>
      <c r="C50" s="53">
        <f t="shared" ref="C50:AA50" si="25">+C22</f>
        <v>-3.2046455050973126</v>
      </c>
      <c r="D50" s="53">
        <f>+D22</f>
        <v>-229.64397952216547</v>
      </c>
      <c r="E50" s="53">
        <f>+E22</f>
        <v>-71.639769466558434</v>
      </c>
      <c r="F50" s="53">
        <f>+F22</f>
        <v>-53.577321886005549</v>
      </c>
      <c r="G50" s="53">
        <f>+G22</f>
        <v>-52.67098007877663</v>
      </c>
      <c r="H50" s="53">
        <f>+H22</f>
        <v>-51.755908090824832</v>
      </c>
      <c r="I50" s="53">
        <f t="shared" si="25"/>
        <v>-197.69567019555123</v>
      </c>
      <c r="J50" s="53">
        <f t="shared" si="25"/>
        <v>-182.33289479758861</v>
      </c>
      <c r="K50" s="53">
        <f t="shared" si="25"/>
        <v>-166.37039039758682</v>
      </c>
      <c r="L50" s="53">
        <f t="shared" si="25"/>
        <v>-149.77749669175125</v>
      </c>
      <c r="M50" s="53">
        <f t="shared" si="25"/>
        <v>-132.53440772752242</v>
      </c>
      <c r="N50" s="53">
        <f t="shared" si="25"/>
        <v>-114.61192772752162</v>
      </c>
      <c r="O50" s="53">
        <f t="shared" si="25"/>
        <v>-95.985082727520407</v>
      </c>
      <c r="P50" s="53">
        <f t="shared" si="25"/>
        <v>-76.673345727516889</v>
      </c>
      <c r="Q50" s="53">
        <f t="shared" si="25"/>
        <v>-56.360310494190813</v>
      </c>
      <c r="R50" s="53">
        <f t="shared" si="25"/>
        <v>1.8595518248135706E-4</v>
      </c>
      <c r="S50" s="53">
        <f>+S22</f>
        <v>1.8595518248135706E-4</v>
      </c>
      <c r="T50" s="53">
        <f t="shared" si="25"/>
        <v>1.8595518248135706E-4</v>
      </c>
      <c r="U50" s="53">
        <f t="shared" si="25"/>
        <v>1.8595518248135706E-4</v>
      </c>
      <c r="V50" s="53">
        <f t="shared" si="25"/>
        <v>1.8595518248135706E-4</v>
      </c>
      <c r="W50" s="53">
        <f t="shared" si="25"/>
        <v>1.8595518248135706E-4</v>
      </c>
      <c r="X50" s="53">
        <f t="shared" si="25"/>
        <v>1.8595518248135706E-4</v>
      </c>
      <c r="Y50" s="53">
        <f t="shared" si="25"/>
        <v>1.8595518248135706E-4</v>
      </c>
      <c r="Z50" s="53">
        <f t="shared" si="25"/>
        <v>1.8595518248135706E-4</v>
      </c>
      <c r="AA50" s="53">
        <f t="shared" si="25"/>
        <v>1.8595518248135706E-4</v>
      </c>
      <c r="AB50" s="53">
        <f>+AB22</f>
        <v>1.8595518248135706E-4</v>
      </c>
    </row>
    <row r="51" spans="1:29">
      <c r="A51" s="175" t="s">
        <v>104</v>
      </c>
      <c r="B51" s="39"/>
      <c r="C51" s="53">
        <f>+'Additional data'!C6</f>
        <v>-3078.7473300000001</v>
      </c>
      <c r="D51" s="53">
        <f>+'Additional data'!D6</f>
        <v>-2055.7140002401215</v>
      </c>
      <c r="E51" s="53">
        <f>+'Additional data'!E6</f>
        <v>-1781.1849602957284</v>
      </c>
      <c r="F51" s="53">
        <f>+'Additional data'!F6</f>
        <v>-90.60042811399444</v>
      </c>
      <c r="G51" s="53">
        <f>+'Additional data'!G6</f>
        <v>-91.506769921223366</v>
      </c>
      <c r="H51" s="53">
        <f>+'Additional data'!H6</f>
        <v>-92.421841909175157</v>
      </c>
      <c r="I51" s="53">
        <f>+'Additional data'!I6</f>
        <v>-379.0153298044487</v>
      </c>
      <c r="J51" s="53">
        <f>+'Additional data'!J6</f>
        <v>-394.37810520241135</v>
      </c>
      <c r="K51" s="53">
        <f>+'Additional data'!K6</f>
        <v>-410.34060960241317</v>
      </c>
      <c r="L51" s="53">
        <f>+'Additional data'!L6</f>
        <v>-426.93350330824876</v>
      </c>
      <c r="M51" s="53">
        <f>+'Additional data'!M6</f>
        <v>-444.17659227247759</v>
      </c>
      <c r="N51" s="53">
        <f>+'Additional data'!N6</f>
        <v>-462.0990722724784</v>
      </c>
      <c r="O51" s="53">
        <f>+'Additional data'!O6</f>
        <v>-480.72591727247948</v>
      </c>
      <c r="P51" s="53">
        <f>+'Additional data'!P6</f>
        <v>-500.03765427248305</v>
      </c>
      <c r="Q51" s="53">
        <f>+'Additional data'!Q6</f>
        <v>-1630.3121774516731</v>
      </c>
      <c r="R51" s="53">
        <f>+'Additional data'!R6</f>
        <v>0</v>
      </c>
      <c r="S51" s="53">
        <f>+'Additional data'!S6</f>
        <v>0</v>
      </c>
      <c r="T51" s="53">
        <f>+'Additional data'!T6</f>
        <v>0</v>
      </c>
      <c r="U51" s="53">
        <f>+'Additional data'!U6</f>
        <v>0</v>
      </c>
      <c r="V51" s="53">
        <f>+'Additional data'!V6</f>
        <v>0</v>
      </c>
      <c r="W51" s="53">
        <f>+'Additional data'!W6</f>
        <v>0</v>
      </c>
      <c r="X51" s="53">
        <f>+'Additional data'!X6</f>
        <v>0</v>
      </c>
      <c r="Y51" s="53">
        <f>+'Additional data'!Y6</f>
        <v>0</v>
      </c>
      <c r="Z51" s="53">
        <f>+'Additional data'!Z6</f>
        <v>0</v>
      </c>
      <c r="AA51" s="53">
        <f>+'Additional data'!AA6</f>
        <v>0</v>
      </c>
      <c r="AB51" s="53">
        <f>+'Additional data'!AB6</f>
        <v>0</v>
      </c>
    </row>
    <row r="52" spans="1:29" s="14" customFormat="1">
      <c r="A52" s="176" t="s">
        <v>105</v>
      </c>
      <c r="B52" s="39"/>
      <c r="C52" s="52">
        <f t="shared" ref="C52:AB52" si="26">SUM(C46:C51)</f>
        <v>-1353.343586584801</v>
      </c>
      <c r="D52" s="52">
        <f t="shared" si="26"/>
        <v>-1233.4051901473879</v>
      </c>
      <c r="E52" s="52">
        <f t="shared" si="26"/>
        <v>-1692.2325420023469</v>
      </c>
      <c r="F52" s="52">
        <f t="shared" si="26"/>
        <v>124.48674594531968</v>
      </c>
      <c r="G52" s="52">
        <f t="shared" si="26"/>
        <v>124.48674594531968</v>
      </c>
      <c r="H52" s="52">
        <f t="shared" si="26"/>
        <v>209.85385996431972</v>
      </c>
      <c r="I52" s="52">
        <f t="shared" si="26"/>
        <v>590.24960369517328</v>
      </c>
      <c r="J52" s="52">
        <f t="shared" si="26"/>
        <v>496.46009394717328</v>
      </c>
      <c r="K52" s="52">
        <f t="shared" si="26"/>
        <v>495.61845029638545</v>
      </c>
      <c r="L52" s="52">
        <f t="shared" si="26"/>
        <v>494.75997377258182</v>
      </c>
      <c r="M52" s="52">
        <f t="shared" si="26"/>
        <v>425.66241971830232</v>
      </c>
      <c r="N52" s="52">
        <f t="shared" si="26"/>
        <v>424.76926074293721</v>
      </c>
      <c r="O52" s="52">
        <f t="shared" si="26"/>
        <v>423.85823858806475</v>
      </c>
      <c r="P52" s="52">
        <f t="shared" si="26"/>
        <v>422.92899599009473</v>
      </c>
      <c r="Q52" s="52">
        <f t="shared" si="26"/>
        <v>-734.46433523034671</v>
      </c>
      <c r="R52" s="52">
        <f t="shared" si="26"/>
        <v>379.55075397345149</v>
      </c>
      <c r="S52" s="52">
        <f t="shared" si="26"/>
        <v>378.71255224638099</v>
      </c>
      <c r="T52" s="52">
        <f t="shared" si="26"/>
        <v>377.85758648476912</v>
      </c>
      <c r="U52" s="52">
        <f t="shared" si="26"/>
        <v>376.98552140792492</v>
      </c>
      <c r="V52" s="52">
        <f t="shared" si="26"/>
        <v>376.09601502954388</v>
      </c>
      <c r="W52" s="52">
        <f t="shared" si="26"/>
        <v>375.18871852359518</v>
      </c>
      <c r="X52" s="52">
        <f t="shared" si="26"/>
        <v>374.26327608752757</v>
      </c>
      <c r="Y52" s="52">
        <f t="shared" si="26"/>
        <v>373.31932480273861</v>
      </c>
      <c r="Z52" s="52">
        <f t="shared" si="26"/>
        <v>372.35649449225377</v>
      </c>
      <c r="AA52" s="52">
        <f t="shared" si="26"/>
        <v>371.37440757555936</v>
      </c>
      <c r="AB52" s="52">
        <f t="shared" si="26"/>
        <v>30.962543837623919</v>
      </c>
      <c r="AC52" s="13"/>
    </row>
    <row r="53" spans="1:29">
      <c r="A53" s="32"/>
      <c r="B53" s="39"/>
      <c r="C53" s="53"/>
      <c r="D53" s="52"/>
      <c r="E53" s="52"/>
      <c r="F53" s="52"/>
      <c r="G53" s="52"/>
      <c r="H53" s="52"/>
      <c r="I53" s="52"/>
      <c r="J53" s="52"/>
      <c r="K53" s="52"/>
      <c r="L53" s="52"/>
      <c r="M53" s="52"/>
      <c r="N53" s="52"/>
      <c r="O53" s="52"/>
      <c r="P53" s="52"/>
      <c r="Q53" s="52"/>
      <c r="R53" s="52"/>
      <c r="S53" s="52"/>
      <c r="T53" s="52"/>
      <c r="U53" s="52"/>
      <c r="V53" s="52"/>
      <c r="W53" s="52"/>
      <c r="X53" s="52"/>
      <c r="Y53" s="52"/>
      <c r="Z53" s="52"/>
      <c r="AA53" s="52"/>
      <c r="AB53" s="52"/>
      <c r="AC53" s="15"/>
    </row>
    <row r="54" spans="1:29">
      <c r="A54" s="175" t="s">
        <v>106</v>
      </c>
      <c r="B54" s="39"/>
      <c r="C54" s="53">
        <f>+'Additional data'!C17</f>
        <v>0</v>
      </c>
      <c r="D54" s="53">
        <f>+'Additional data'!D17</f>
        <v>-115.975347544022</v>
      </c>
      <c r="E54" s="53">
        <f>+'Additional data'!E17</f>
        <v>-28.9938368860055</v>
      </c>
      <c r="F54" s="53">
        <f>+'Additional data'!F17</f>
        <v>-28.9938368860055</v>
      </c>
      <c r="G54" s="53">
        <f>+'Additional data'!G17</f>
        <v>-28.9938368860055</v>
      </c>
      <c r="H54" s="53">
        <f>+'Additional data'!H17</f>
        <v>-28.9938368860055</v>
      </c>
      <c r="I54" s="53">
        <f>+'Additional data'!I17</f>
        <v>-115.975347544022</v>
      </c>
      <c r="J54" s="53">
        <f>+'Additional data'!J17</f>
        <v>-92.26163473646443</v>
      </c>
      <c r="K54" s="53">
        <f>+'Additional data'!K17</f>
        <v>-72.051711775928993</v>
      </c>
      <c r="L54" s="53">
        <f>+'Additional data'!L17</f>
        <v>-50.873374849906178</v>
      </c>
      <c r="M54" s="53">
        <f>+'Additional data'!M17</f>
        <v>-28.67904490377239</v>
      </c>
      <c r="N54" s="53">
        <f>+'Additional data'!N17</f>
        <v>-8.8298761630458902</v>
      </c>
      <c r="O54" s="53">
        <f>+'Additional data'!O17</f>
        <v>0</v>
      </c>
      <c r="P54" s="53">
        <f>+'Additional data'!P17</f>
        <v>0</v>
      </c>
      <c r="Q54" s="53">
        <f>+'Additional data'!Q17</f>
        <v>0</v>
      </c>
      <c r="R54" s="53">
        <f>+'Additional data'!R17</f>
        <v>0</v>
      </c>
      <c r="S54" s="53">
        <f>+'Additional data'!S17</f>
        <v>0</v>
      </c>
      <c r="T54" s="53">
        <f>+'Additional data'!T17</f>
        <v>0</v>
      </c>
      <c r="U54" s="53">
        <f>+'Additional data'!U17</f>
        <v>0</v>
      </c>
      <c r="V54" s="53">
        <f>+'Additional data'!V17</f>
        <v>0</v>
      </c>
      <c r="W54" s="53">
        <f>+'Additional data'!W17</f>
        <v>0</v>
      </c>
      <c r="X54" s="53">
        <f>+'Additional data'!X17</f>
        <v>0</v>
      </c>
      <c r="Y54" s="53">
        <f>+'Additional data'!Y17</f>
        <v>0</v>
      </c>
      <c r="Z54" s="53">
        <f>+'Additional data'!Z17</f>
        <v>0</v>
      </c>
      <c r="AA54" s="53">
        <f>+'Additional data'!AA17</f>
        <v>0</v>
      </c>
      <c r="AB54" s="53">
        <f>+'Additional data'!AB17</f>
        <v>0</v>
      </c>
    </row>
    <row r="55" spans="1:29">
      <c r="A55" s="175" t="s">
        <v>107</v>
      </c>
      <c r="B55" s="39"/>
      <c r="C55" s="53">
        <f>+'Additional data'!C13</f>
        <v>0</v>
      </c>
      <c r="D55" s="53">
        <f>+'Additional data'!D13</f>
        <v>0</v>
      </c>
      <c r="E55" s="53">
        <f>+'Additional data'!E13</f>
        <v>0</v>
      </c>
      <c r="F55" s="53">
        <f>+'Additional data'!F13</f>
        <v>0</v>
      </c>
      <c r="G55" s="53">
        <f>+'Additional data'!G13</f>
        <v>0</v>
      </c>
      <c r="H55" s="53">
        <f>+'Additional data'!H13</f>
        <v>0</v>
      </c>
      <c r="I55" s="53">
        <f>+'Additional data'!I13</f>
        <v>-474.27425615115129</v>
      </c>
      <c r="J55" s="53">
        <f>+'Additional data'!J13</f>
        <v>-404.19845921070879</v>
      </c>
      <c r="K55" s="53">
        <f>+'Additional data'!K13</f>
        <v>-423.5667385204564</v>
      </c>
      <c r="L55" s="53">
        <f>+'Additional data'!L13</f>
        <v>-443.88659892267566</v>
      </c>
      <c r="M55" s="53">
        <f>+'Additional data'!M13</f>
        <v>-396.98337481452995</v>
      </c>
      <c r="N55" s="53">
        <f>+'Additional data'!N13</f>
        <v>-176.5975232609178</v>
      </c>
      <c r="O55" s="53">
        <f>+'Additional data'!O13</f>
        <v>0</v>
      </c>
      <c r="P55" s="53">
        <f>+'Additional data'!P13</f>
        <v>0</v>
      </c>
      <c r="Q55" s="53">
        <f>+'Additional data'!Q13</f>
        <v>0</v>
      </c>
      <c r="R55" s="53">
        <f>+'Additional data'!R13</f>
        <v>0</v>
      </c>
      <c r="S55" s="53">
        <f>+'Additional data'!S13</f>
        <v>0</v>
      </c>
      <c r="T55" s="53">
        <f>+'Additional data'!T13</f>
        <v>0</v>
      </c>
      <c r="U55" s="53">
        <f>+'Additional data'!U13</f>
        <v>0</v>
      </c>
      <c r="V55" s="53">
        <f>+'Additional data'!V13</f>
        <v>0</v>
      </c>
      <c r="W55" s="53">
        <f>+'Additional data'!W13</f>
        <v>0</v>
      </c>
      <c r="X55" s="53">
        <f>+'Additional data'!X13</f>
        <v>0</v>
      </c>
      <c r="Y55" s="53">
        <f>+'Additional data'!Y13</f>
        <v>0</v>
      </c>
      <c r="Z55" s="53">
        <f>+'Additional data'!Z13</f>
        <v>0</v>
      </c>
      <c r="AA55" s="53">
        <f>+'Additional data'!AA13</f>
        <v>0</v>
      </c>
      <c r="AB55" s="53">
        <f>+'Additional data'!AB13</f>
        <v>0</v>
      </c>
    </row>
    <row r="56" spans="1:29">
      <c r="A56" s="175" t="s">
        <v>108</v>
      </c>
      <c r="B56" s="39"/>
      <c r="C56" s="53"/>
      <c r="D56" s="53"/>
      <c r="E56" s="53"/>
      <c r="F56" s="53"/>
      <c r="G56" s="53"/>
      <c r="H56" s="53"/>
      <c r="I56" s="53">
        <f>-MIN(SUM(I52,I54:I55),SUM(D37,D26))</f>
        <v>0</v>
      </c>
      <c r="J56" s="53">
        <f t="shared" ref="J56:X56" si="27">-MIN(SUM(J52,J54:J55),SUM(I37,J26))</f>
        <v>0</v>
      </c>
      <c r="K56" s="53">
        <f t="shared" si="27"/>
        <v>0</v>
      </c>
      <c r="L56" s="53">
        <f t="shared" si="27"/>
        <v>0</v>
      </c>
      <c r="M56" s="53">
        <f t="shared" si="27"/>
        <v>0</v>
      </c>
      <c r="N56" s="53">
        <v>0</v>
      </c>
      <c r="O56" s="53">
        <v>0</v>
      </c>
      <c r="P56" s="53">
        <v>0</v>
      </c>
      <c r="Q56" s="53">
        <v>0</v>
      </c>
      <c r="R56" s="53">
        <f t="shared" si="27"/>
        <v>-379.55075397345149</v>
      </c>
      <c r="S56" s="53">
        <f t="shared" si="27"/>
        <v>-378.71255224638099</v>
      </c>
      <c r="T56" s="53">
        <f t="shared" si="27"/>
        <v>-377.85758648476912</v>
      </c>
      <c r="U56" s="53">
        <f t="shared" si="27"/>
        <v>-376.98552140792492</v>
      </c>
      <c r="V56" s="53">
        <f t="shared" si="27"/>
        <v>-376.09601502954388</v>
      </c>
      <c r="W56" s="53">
        <f t="shared" si="27"/>
        <v>-375.18871852359518</v>
      </c>
      <c r="X56" s="53">
        <f t="shared" si="27"/>
        <v>-374.26327608752757</v>
      </c>
      <c r="Y56" s="53">
        <f>-MIN(SUM(Y52,Y54:Y55),SUM(X37,Y26))</f>
        <v>-373.31932480273861</v>
      </c>
      <c r="Z56" s="53">
        <f>-MIN(SUM(Z52,Z54:Z55),SUM(Y37,Z26))</f>
        <v>-372.35649449225377</v>
      </c>
      <c r="AA56" s="53">
        <f>-MIN(SUM(AA52,AA54:AA55),SUM(Z37,AA26))</f>
        <v>-162.82092711351825</v>
      </c>
      <c r="AB56" s="53">
        <f>-MIN(SUM(AB52,AB54:AB55),SUM(AA37,AB26))</f>
        <v>-0.81941883762577294</v>
      </c>
      <c r="AC56" s="13"/>
    </row>
    <row r="57" spans="1:29">
      <c r="A57" s="175" t="s">
        <v>109</v>
      </c>
      <c r="B57" s="39"/>
      <c r="C57" s="53"/>
      <c r="D57" s="53"/>
      <c r="E57" s="53"/>
      <c r="F57" s="53"/>
      <c r="G57" s="53"/>
      <c r="H57" s="53"/>
      <c r="I57" s="53">
        <f t="shared" ref="I57:Y57" si="28">-MIN(SUM(I52:I56),I35)</f>
        <v>0</v>
      </c>
      <c r="J57" s="53">
        <f t="shared" si="28"/>
        <v>-5.6843418860808015E-14</v>
      </c>
      <c r="K57" s="53">
        <f t="shared" si="28"/>
        <v>-5.6843418860808015E-14</v>
      </c>
      <c r="L57" s="53">
        <f t="shared" si="28"/>
        <v>0</v>
      </c>
      <c r="M57" s="53">
        <f t="shared" si="28"/>
        <v>0</v>
      </c>
      <c r="N57" s="53">
        <v>0</v>
      </c>
      <c r="O57" s="53">
        <v>0</v>
      </c>
      <c r="P57" s="53">
        <v>0</v>
      </c>
      <c r="Q57" s="53">
        <v>0</v>
      </c>
      <c r="R57" s="53">
        <f t="shared" si="28"/>
        <v>0</v>
      </c>
      <c r="S57" s="53">
        <f t="shared" si="28"/>
        <v>0</v>
      </c>
      <c r="T57" s="53">
        <f t="shared" si="28"/>
        <v>0</v>
      </c>
      <c r="U57" s="53">
        <f t="shared" si="28"/>
        <v>0</v>
      </c>
      <c r="V57" s="53">
        <f t="shared" si="28"/>
        <v>0</v>
      </c>
      <c r="W57" s="53">
        <f t="shared" si="28"/>
        <v>0</v>
      </c>
      <c r="X57" s="53">
        <f t="shared" si="28"/>
        <v>0</v>
      </c>
      <c r="Y57" s="53">
        <f t="shared" si="28"/>
        <v>0</v>
      </c>
      <c r="Z57" s="53">
        <f>-Z52-Z56</f>
        <v>0</v>
      </c>
      <c r="AA57" s="53">
        <f>-AA52-AA56</f>
        <v>-208.55348046204111</v>
      </c>
      <c r="AB57" s="53">
        <f>-AB52-AB56</f>
        <v>-30.143124999998147</v>
      </c>
      <c r="AC57" s="13"/>
    </row>
    <row r="58" spans="1:29">
      <c r="A58" s="176" t="s">
        <v>110</v>
      </c>
      <c r="B58" s="39"/>
      <c r="C58" s="52">
        <f t="shared" ref="C58:AA58" si="29">SUM(C54:C57)</f>
        <v>0</v>
      </c>
      <c r="D58" s="52">
        <f t="shared" si="29"/>
        <v>-115.975347544022</v>
      </c>
      <c r="E58" s="52">
        <f t="shared" si="29"/>
        <v>-28.9938368860055</v>
      </c>
      <c r="F58" s="52">
        <f t="shared" si="29"/>
        <v>-28.9938368860055</v>
      </c>
      <c r="G58" s="52">
        <f t="shared" si="29"/>
        <v>-28.9938368860055</v>
      </c>
      <c r="H58" s="52">
        <f t="shared" si="29"/>
        <v>-28.9938368860055</v>
      </c>
      <c r="I58" s="52">
        <f t="shared" si="29"/>
        <v>-590.24960369517328</v>
      </c>
      <c r="J58" s="52">
        <f t="shared" si="29"/>
        <v>-496.46009394717328</v>
      </c>
      <c r="K58" s="52">
        <f t="shared" si="29"/>
        <v>-495.61845029638545</v>
      </c>
      <c r="L58" s="52">
        <f t="shared" si="29"/>
        <v>-494.75997377258182</v>
      </c>
      <c r="M58" s="52">
        <f t="shared" si="29"/>
        <v>-425.66241971830232</v>
      </c>
      <c r="N58" s="52">
        <f t="shared" si="29"/>
        <v>-185.42739942396369</v>
      </c>
      <c r="O58" s="52">
        <f t="shared" si="29"/>
        <v>0</v>
      </c>
      <c r="P58" s="52">
        <f t="shared" si="29"/>
        <v>0</v>
      </c>
      <c r="Q58" s="52">
        <f t="shared" si="29"/>
        <v>0</v>
      </c>
      <c r="R58" s="52">
        <f t="shared" si="29"/>
        <v>-379.55075397345149</v>
      </c>
      <c r="S58" s="52">
        <f t="shared" si="29"/>
        <v>-378.71255224638099</v>
      </c>
      <c r="T58" s="52">
        <f t="shared" si="29"/>
        <v>-377.85758648476912</v>
      </c>
      <c r="U58" s="52">
        <f t="shared" si="29"/>
        <v>-376.98552140792492</v>
      </c>
      <c r="V58" s="52">
        <f t="shared" si="29"/>
        <v>-376.09601502954388</v>
      </c>
      <c r="W58" s="52">
        <f t="shared" si="29"/>
        <v>-375.18871852359518</v>
      </c>
      <c r="X58" s="52">
        <f t="shared" si="29"/>
        <v>-374.26327608752757</v>
      </c>
      <c r="Y58" s="52">
        <f>SUM(Y54:Y57)</f>
        <v>-373.31932480273861</v>
      </c>
      <c r="Z58" s="52">
        <f>SUM(Z54:Z57)</f>
        <v>-372.35649449225377</v>
      </c>
      <c r="AA58" s="52">
        <f t="shared" si="29"/>
        <v>-371.37440757555936</v>
      </c>
      <c r="AB58" s="52">
        <f>SUM(AB54:AB57)</f>
        <v>-30.962543837623919</v>
      </c>
      <c r="AC58" s="13"/>
    </row>
    <row r="59" spans="1:29" s="22" customFormat="1" ht="11.25">
      <c r="A59" s="31"/>
      <c r="B59" s="40"/>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row>
    <row r="60" spans="1:29">
      <c r="AB60" s="44"/>
    </row>
    <row r="61" spans="1:29">
      <c r="A61" s="70" t="s">
        <v>18</v>
      </c>
      <c r="B61" s="71"/>
      <c r="C61" s="72">
        <f>+C19</f>
        <v>-22.867241079703426</v>
      </c>
      <c r="D61" s="72">
        <f>+D19</f>
        <v>1051.9527896148991</v>
      </c>
      <c r="E61" s="72">
        <f t="shared" ref="E61:AB61" si="30">+E19</f>
        <v>160.59218775993992</v>
      </c>
      <c r="F61" s="72">
        <f t="shared" si="30"/>
        <v>268.66449594531969</v>
      </c>
      <c r="G61" s="72">
        <f t="shared" si="30"/>
        <v>268.66449594531969</v>
      </c>
      <c r="H61" s="72">
        <f t="shared" si="30"/>
        <v>354.03160996431973</v>
      </c>
      <c r="I61" s="72">
        <f t="shared" si="30"/>
        <v>1166.9606036951732</v>
      </c>
      <c r="J61" s="72">
        <f t="shared" si="30"/>
        <v>1073.1710939471732</v>
      </c>
      <c r="K61" s="72">
        <f t="shared" si="30"/>
        <v>1072.3294502963854</v>
      </c>
      <c r="L61" s="72">
        <f t="shared" si="30"/>
        <v>1071.4709737725818</v>
      </c>
      <c r="M61" s="72">
        <f t="shared" si="30"/>
        <v>1002.3734197183023</v>
      </c>
      <c r="N61" s="72">
        <f t="shared" si="30"/>
        <v>1001.4802607429372</v>
      </c>
      <c r="O61" s="72">
        <f t="shared" si="30"/>
        <v>1000.5692385880646</v>
      </c>
      <c r="P61" s="72">
        <f t="shared" si="30"/>
        <v>999.63999599009469</v>
      </c>
      <c r="Q61" s="72">
        <f t="shared" si="30"/>
        <v>998.69216854016531</v>
      </c>
      <c r="R61" s="72">
        <f t="shared" si="30"/>
        <v>446.53011283711339</v>
      </c>
      <c r="S61" s="72">
        <f t="shared" si="30"/>
        <v>445.54399315820694</v>
      </c>
      <c r="T61" s="72">
        <f t="shared" si="30"/>
        <v>444.53815108572235</v>
      </c>
      <c r="U61" s="72">
        <f t="shared" si="30"/>
        <v>443.512192171788</v>
      </c>
      <c r="V61" s="72">
        <f t="shared" si="30"/>
        <v>442.46571407957504</v>
      </c>
      <c r="W61" s="72">
        <f t="shared" si="30"/>
        <v>441.39830642551777</v>
      </c>
      <c r="X61" s="72">
        <f t="shared" si="30"/>
        <v>440.30955061837938</v>
      </c>
      <c r="Y61" s="72">
        <f t="shared" si="30"/>
        <v>439.19901969509823</v>
      </c>
      <c r="Z61" s="72">
        <f t="shared" si="30"/>
        <v>438.06627815335139</v>
      </c>
      <c r="AA61" s="72">
        <f t="shared" si="30"/>
        <v>436.91088178076973</v>
      </c>
      <c r="AB61" s="72">
        <f t="shared" si="30"/>
        <v>36.42633620672801</v>
      </c>
    </row>
    <row r="62" spans="1:29">
      <c r="A62" s="70" t="s">
        <v>19</v>
      </c>
      <c r="B62" s="71"/>
      <c r="C62" s="72">
        <f>+C19-C12</f>
        <v>-22.867241079703426</v>
      </c>
      <c r="D62" s="72">
        <f>+D19-D12</f>
        <v>965.97907234589911</v>
      </c>
      <c r="E62" s="72">
        <f t="shared" ref="E62:AB62" si="31">+E19-E12</f>
        <v>160.59218775993992</v>
      </c>
      <c r="F62" s="72">
        <f t="shared" si="31"/>
        <v>268.66449594531969</v>
      </c>
      <c r="G62" s="72">
        <f t="shared" si="31"/>
        <v>268.66449594531969</v>
      </c>
      <c r="H62" s="72">
        <f t="shared" si="31"/>
        <v>268.05789269531977</v>
      </c>
      <c r="I62" s="72">
        <f t="shared" si="31"/>
        <v>1073.1710939471732</v>
      </c>
      <c r="J62" s="72">
        <f t="shared" si="31"/>
        <v>1073.1710939471732</v>
      </c>
      <c r="K62" s="72">
        <f t="shared" si="31"/>
        <v>1072.3294502963854</v>
      </c>
      <c r="L62" s="72">
        <f t="shared" si="31"/>
        <v>1071.4709737725818</v>
      </c>
      <c r="M62" s="72">
        <f t="shared" si="31"/>
        <v>1002.3734197183023</v>
      </c>
      <c r="N62" s="72">
        <f t="shared" si="31"/>
        <v>1001.4802607429372</v>
      </c>
      <c r="O62" s="72">
        <f t="shared" si="31"/>
        <v>1000.5692385880646</v>
      </c>
      <c r="P62" s="72">
        <f t="shared" si="31"/>
        <v>999.63999599009469</v>
      </c>
      <c r="Q62" s="72">
        <f t="shared" si="31"/>
        <v>998.69216854016531</v>
      </c>
      <c r="R62" s="72">
        <f t="shared" si="31"/>
        <v>446.53011283711339</v>
      </c>
      <c r="S62" s="72">
        <f t="shared" si="31"/>
        <v>445.54399315820694</v>
      </c>
      <c r="T62" s="72">
        <f t="shared" si="31"/>
        <v>444.53815108572235</v>
      </c>
      <c r="U62" s="72">
        <f t="shared" si="31"/>
        <v>443.512192171788</v>
      </c>
      <c r="V62" s="72">
        <f t="shared" si="31"/>
        <v>442.46571407957504</v>
      </c>
      <c r="W62" s="72">
        <f t="shared" si="31"/>
        <v>441.39830642551777</v>
      </c>
      <c r="X62" s="72">
        <f t="shared" si="31"/>
        <v>440.30955061837938</v>
      </c>
      <c r="Y62" s="72">
        <f t="shared" si="31"/>
        <v>439.19901969509823</v>
      </c>
      <c r="Z62" s="72">
        <f t="shared" si="31"/>
        <v>438.06627815335139</v>
      </c>
      <c r="AA62" s="72">
        <f t="shared" si="31"/>
        <v>436.91088178076973</v>
      </c>
      <c r="AB62" s="72">
        <f t="shared" si="31"/>
        <v>36.42633620672801</v>
      </c>
    </row>
    <row r="63" spans="1:29">
      <c r="A63" s="32"/>
      <c r="B63" s="39"/>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row>
    <row r="64" spans="1:29">
      <c r="A64" s="67" t="s">
        <v>20</v>
      </c>
      <c r="B64" s="68"/>
      <c r="C64" s="69">
        <f>+SUM(C21:C23)</f>
        <v>-64.288418095458752</v>
      </c>
      <c r="D64" s="69">
        <f>+SUM(D21:D23)+C64</f>
        <v>251.95754445325289</v>
      </c>
      <c r="E64" s="69">
        <f>+SUM(E21:E23)</f>
        <v>-10.966418592624013</v>
      </c>
      <c r="F64" s="69">
        <f>+SUM(F21:F23)</f>
        <v>79.705837173308652</v>
      </c>
      <c r="G64" s="69">
        <f>+SUM(G21:G23)</f>
        <v>80.612178980537564</v>
      </c>
      <c r="H64" s="69">
        <f>+SUM(H21:H23)+C64</f>
        <v>102.60594689203063</v>
      </c>
      <c r="I64" s="69">
        <f t="shared" ref="I64:AB64" si="32">+SUM(I21:I23)</f>
        <v>427.73958595560003</v>
      </c>
      <c r="J64" s="69">
        <f t="shared" si="32"/>
        <v>373.02656441312018</v>
      </c>
      <c r="K64" s="69">
        <f t="shared" si="32"/>
        <v>408.35734812286967</v>
      </c>
      <c r="L64" s="69">
        <f t="shared" si="32"/>
        <v>445.27010223092446</v>
      </c>
      <c r="M64" s="69">
        <f>+SUM(M21:M23)</f>
        <v>415.60996708700759</v>
      </c>
      <c r="N64" s="69">
        <f t="shared" si="32"/>
        <v>452.48845685236972</v>
      </c>
      <c r="O64" s="69">
        <f t="shared" si="32"/>
        <v>479.03415586054416</v>
      </c>
      <c r="P64" s="69">
        <f t="shared" si="32"/>
        <v>497.41665026257772</v>
      </c>
      <c r="Q64" s="69">
        <f t="shared" si="32"/>
        <v>516.78185804597456</v>
      </c>
      <c r="R64" s="69">
        <f t="shared" si="32"/>
        <v>20.980298792295862</v>
      </c>
      <c r="S64" s="69">
        <f t="shared" si="32"/>
        <v>19.994179113389414</v>
      </c>
      <c r="T64" s="69">
        <f t="shared" si="32"/>
        <v>18.988337040904817</v>
      </c>
      <c r="U64" s="69">
        <f t="shared" si="32"/>
        <v>17.962378126970471</v>
      </c>
      <c r="V64" s="69">
        <f t="shared" si="32"/>
        <v>16.915900034757506</v>
      </c>
      <c r="W64" s="69">
        <f t="shared" si="32"/>
        <v>15.848492380700243</v>
      </c>
      <c r="X64" s="69">
        <f t="shared" si="32"/>
        <v>14.759736573561845</v>
      </c>
      <c r="Y64" s="69">
        <f t="shared" si="32"/>
        <v>13.649205650280699</v>
      </c>
      <c r="Z64" s="69">
        <f t="shared" si="32"/>
        <v>12.51646410853386</v>
      </c>
      <c r="AA64" s="69">
        <f t="shared" si="32"/>
        <v>11.361067735952197</v>
      </c>
      <c r="AB64" s="69">
        <f t="shared" si="32"/>
        <v>0.96402216191267398</v>
      </c>
    </row>
    <row r="65" spans="1:28">
      <c r="A65" s="32" t="s">
        <v>21</v>
      </c>
      <c r="B65" s="39"/>
      <c r="C65" s="53">
        <f t="shared" ref="C65:AB65" si="33">+C64-C12</f>
        <v>-64.288418095458752</v>
      </c>
      <c r="D65" s="53">
        <f t="shared" si="33"/>
        <v>165.9838271842529</v>
      </c>
      <c r="E65" s="53">
        <f t="shared" si="33"/>
        <v>-10.966418592624013</v>
      </c>
      <c r="F65" s="53">
        <f t="shared" si="33"/>
        <v>79.705837173308652</v>
      </c>
      <c r="G65" s="53">
        <f t="shared" si="33"/>
        <v>80.612178980537564</v>
      </c>
      <c r="H65" s="53">
        <f t="shared" si="33"/>
        <v>16.632229623030639</v>
      </c>
      <c r="I65" s="53">
        <f t="shared" si="33"/>
        <v>333.95007620760003</v>
      </c>
      <c r="J65" s="53">
        <f t="shared" si="33"/>
        <v>373.02656441312018</v>
      </c>
      <c r="K65" s="53">
        <f t="shared" si="33"/>
        <v>408.35734812286967</v>
      </c>
      <c r="L65" s="53">
        <f t="shared" si="33"/>
        <v>445.27010223092446</v>
      </c>
      <c r="M65" s="53">
        <f t="shared" si="33"/>
        <v>415.60996708700759</v>
      </c>
      <c r="N65" s="53">
        <f t="shared" si="33"/>
        <v>452.48845685236972</v>
      </c>
      <c r="O65" s="53">
        <f t="shared" si="33"/>
        <v>479.03415586054416</v>
      </c>
      <c r="P65" s="53">
        <f t="shared" si="33"/>
        <v>497.41665026257772</v>
      </c>
      <c r="Q65" s="53">
        <f t="shared" si="33"/>
        <v>516.78185804597456</v>
      </c>
      <c r="R65" s="53">
        <f t="shared" si="33"/>
        <v>20.980298792295862</v>
      </c>
      <c r="S65" s="53">
        <f t="shared" si="33"/>
        <v>19.994179113389414</v>
      </c>
      <c r="T65" s="53">
        <f t="shared" si="33"/>
        <v>18.988337040904817</v>
      </c>
      <c r="U65" s="53">
        <f t="shared" si="33"/>
        <v>17.962378126970471</v>
      </c>
      <c r="V65" s="53">
        <f t="shared" si="33"/>
        <v>16.915900034757506</v>
      </c>
      <c r="W65" s="53">
        <f t="shared" si="33"/>
        <v>15.848492380700243</v>
      </c>
      <c r="X65" s="53">
        <f t="shared" si="33"/>
        <v>14.759736573561845</v>
      </c>
      <c r="Y65" s="53">
        <f t="shared" si="33"/>
        <v>13.649205650280699</v>
      </c>
      <c r="Z65" s="53">
        <f t="shared" si="33"/>
        <v>12.51646410853386</v>
      </c>
      <c r="AA65" s="53">
        <f t="shared" si="33"/>
        <v>11.361067735952197</v>
      </c>
      <c r="AB65" s="53">
        <f t="shared" si="33"/>
        <v>0.96402216191267398</v>
      </c>
    </row>
    <row r="66" spans="1:28">
      <c r="A66" s="32"/>
      <c r="B66" s="39"/>
      <c r="C66" s="53"/>
      <c r="D66" s="53"/>
      <c r="E66" s="53"/>
      <c r="F66" s="53"/>
      <c r="G66" s="53"/>
      <c r="H66" s="53"/>
      <c r="I66" s="53"/>
      <c r="J66" s="53"/>
      <c r="K66" s="53"/>
      <c r="L66" s="53"/>
      <c r="M66" s="53"/>
      <c r="N66" s="53"/>
      <c r="O66" s="53"/>
      <c r="P66" s="53"/>
      <c r="Q66" s="53"/>
      <c r="R66" s="53"/>
      <c r="S66" s="53"/>
      <c r="T66" s="53"/>
      <c r="U66" s="53"/>
      <c r="V66" s="53"/>
      <c r="W66" s="53"/>
      <c r="X66" s="53"/>
      <c r="Y66" s="53"/>
      <c r="Z66" s="53"/>
      <c r="AA66" s="53"/>
      <c r="AB66" s="53"/>
    </row>
    <row r="67" spans="1:28">
      <c r="A67" s="67" t="s">
        <v>22</v>
      </c>
      <c r="B67" s="68"/>
      <c r="C67" s="69">
        <f>IF(C64&lt;0,0,C64*0.15)</f>
        <v>0</v>
      </c>
      <c r="D67" s="69">
        <f>IF(D64&lt;0,0,D64*0.15)</f>
        <v>37.793631667987931</v>
      </c>
      <c r="E67" s="69">
        <f t="shared" ref="E67:AB67" si="34">IF(E64&lt;0,0,E64*0.15)</f>
        <v>0</v>
      </c>
      <c r="F67" s="69">
        <f t="shared" si="34"/>
        <v>11.955875575996297</v>
      </c>
      <c r="G67" s="69">
        <f t="shared" si="34"/>
        <v>12.091826847080634</v>
      </c>
      <c r="H67" s="69">
        <f t="shared" si="34"/>
        <v>15.390892033804594</v>
      </c>
      <c r="I67" s="69">
        <f t="shared" si="34"/>
        <v>64.160937893340005</v>
      </c>
      <c r="J67" s="69">
        <f t="shared" si="34"/>
        <v>55.953984661968029</v>
      </c>
      <c r="K67" s="69">
        <f t="shared" si="34"/>
        <v>61.253602218430444</v>
      </c>
      <c r="L67" s="69">
        <f t="shared" si="34"/>
        <v>66.79051533463867</v>
      </c>
      <c r="M67" s="69">
        <f>IF(M64&lt;0,0,M64*0.15)</f>
        <v>62.341495063051134</v>
      </c>
      <c r="N67" s="69">
        <f t="shared" si="34"/>
        <v>67.873268527855458</v>
      </c>
      <c r="O67" s="69">
        <f t="shared" si="34"/>
        <v>71.855123379081618</v>
      </c>
      <c r="P67" s="69">
        <f t="shared" si="34"/>
        <v>74.612497539386652</v>
      </c>
      <c r="Q67" s="69">
        <f t="shared" si="34"/>
        <v>77.517278706896178</v>
      </c>
      <c r="R67" s="69">
        <f t="shared" si="34"/>
        <v>3.1470448188443791</v>
      </c>
      <c r="S67" s="69">
        <f t="shared" si="34"/>
        <v>2.9991268670084121</v>
      </c>
      <c r="T67" s="69">
        <f t="shared" si="34"/>
        <v>2.8482505561357225</v>
      </c>
      <c r="U67" s="69">
        <f t="shared" si="34"/>
        <v>2.6943567190455706</v>
      </c>
      <c r="V67" s="69">
        <f t="shared" si="34"/>
        <v>2.537385005213626</v>
      </c>
      <c r="W67" s="69">
        <f t="shared" si="34"/>
        <v>2.3772738571050365</v>
      </c>
      <c r="X67" s="69">
        <f t="shared" si="34"/>
        <v>2.2139604860342765</v>
      </c>
      <c r="Y67" s="69">
        <f t="shared" si="34"/>
        <v>2.0473808475421049</v>
      </c>
      <c r="Z67" s="69">
        <f t="shared" si="34"/>
        <v>1.877469616280079</v>
      </c>
      <c r="AA67" s="69">
        <f t="shared" si="34"/>
        <v>1.7041601603928296</v>
      </c>
      <c r="AB67" s="69">
        <f t="shared" si="34"/>
        <v>0.14460332428690109</v>
      </c>
    </row>
    <row r="68" spans="1:28">
      <c r="A68" s="32" t="s">
        <v>23</v>
      </c>
      <c r="B68" s="39"/>
      <c r="C68" s="53">
        <f>IF(C65&lt;0,0,C65*0.15)</f>
        <v>0</v>
      </c>
      <c r="D68" s="53">
        <f>IF(D65&lt;0,0,D65*0.15)</f>
        <v>24.897574077637934</v>
      </c>
      <c r="E68" s="53">
        <f t="shared" ref="E68:AB68" si="35">IF(E65&lt;0,0,E65*0.15)</f>
        <v>0</v>
      </c>
      <c r="F68" s="53">
        <f t="shared" si="35"/>
        <v>11.955875575996297</v>
      </c>
      <c r="G68" s="53">
        <f t="shared" si="35"/>
        <v>12.091826847080634</v>
      </c>
      <c r="H68" s="53">
        <f t="shared" si="35"/>
        <v>2.4948344434545957</v>
      </c>
      <c r="I68" s="53">
        <f t="shared" si="35"/>
        <v>50.092511431140004</v>
      </c>
      <c r="J68" s="53">
        <f t="shared" si="35"/>
        <v>55.953984661968029</v>
      </c>
      <c r="K68" s="53">
        <f t="shared" si="35"/>
        <v>61.253602218430444</v>
      </c>
      <c r="L68" s="53">
        <f t="shared" si="35"/>
        <v>66.79051533463867</v>
      </c>
      <c r="M68" s="53">
        <f t="shared" si="35"/>
        <v>62.341495063051134</v>
      </c>
      <c r="N68" s="53">
        <f t="shared" si="35"/>
        <v>67.873268527855458</v>
      </c>
      <c r="O68" s="53">
        <f t="shared" si="35"/>
        <v>71.855123379081618</v>
      </c>
      <c r="P68" s="53">
        <f t="shared" si="35"/>
        <v>74.612497539386652</v>
      </c>
      <c r="Q68" s="53">
        <f t="shared" si="35"/>
        <v>77.517278706896178</v>
      </c>
      <c r="R68" s="53">
        <f>IF(R65&lt;0,0,R65*0.15)</f>
        <v>3.1470448188443791</v>
      </c>
      <c r="S68" s="53">
        <f t="shared" si="35"/>
        <v>2.9991268670084121</v>
      </c>
      <c r="T68" s="53">
        <f t="shared" si="35"/>
        <v>2.8482505561357225</v>
      </c>
      <c r="U68" s="53">
        <f t="shared" si="35"/>
        <v>2.6943567190455706</v>
      </c>
      <c r="V68" s="53">
        <f t="shared" si="35"/>
        <v>2.537385005213626</v>
      </c>
      <c r="W68" s="53">
        <f t="shared" si="35"/>
        <v>2.3772738571050365</v>
      </c>
      <c r="X68" s="53">
        <f t="shared" si="35"/>
        <v>2.2139604860342765</v>
      </c>
      <c r="Y68" s="53">
        <f t="shared" si="35"/>
        <v>2.0473808475421049</v>
      </c>
      <c r="Z68" s="53">
        <f t="shared" si="35"/>
        <v>1.877469616280079</v>
      </c>
      <c r="AA68" s="53">
        <f t="shared" si="35"/>
        <v>1.7041601603928296</v>
      </c>
      <c r="AB68" s="53">
        <f t="shared" si="35"/>
        <v>0.14460332428690109</v>
      </c>
    </row>
    <row r="69" spans="1:28">
      <c r="A69" s="32"/>
      <c r="B69" s="39"/>
      <c r="C69" s="53"/>
      <c r="D69" s="53"/>
      <c r="E69" s="53"/>
      <c r="F69" s="53"/>
      <c r="G69" s="53"/>
      <c r="H69" s="53"/>
      <c r="I69" s="53"/>
      <c r="J69" s="53"/>
      <c r="K69" s="53"/>
      <c r="L69" s="53"/>
      <c r="M69" s="53"/>
      <c r="N69" s="53"/>
      <c r="O69" s="53"/>
      <c r="P69" s="53"/>
      <c r="Q69" s="53"/>
      <c r="R69" s="53"/>
      <c r="S69" s="53"/>
      <c r="T69" s="53"/>
      <c r="U69" s="53"/>
      <c r="V69" s="53"/>
      <c r="W69" s="53"/>
      <c r="X69" s="53"/>
      <c r="Y69" s="53"/>
      <c r="Z69" s="53"/>
      <c r="AA69" s="53"/>
      <c r="AB69" s="53"/>
    </row>
    <row r="70" spans="1:28">
      <c r="A70" s="67" t="s">
        <v>24</v>
      </c>
      <c r="B70" s="68"/>
      <c r="C70" s="69">
        <f t="shared" ref="C70:F71" si="36">C64-C67</f>
        <v>-64.288418095458752</v>
      </c>
      <c r="D70" s="69">
        <f t="shared" si="36"/>
        <v>214.16391278526496</v>
      </c>
      <c r="E70" s="69">
        <f t="shared" si="36"/>
        <v>-10.966418592624013</v>
      </c>
      <c r="F70" s="69">
        <f t="shared" si="36"/>
        <v>67.74996159731235</v>
      </c>
      <c r="G70" s="69">
        <f t="shared" ref="G70:AB70" si="37">G64-G67</f>
        <v>68.520352133456925</v>
      </c>
      <c r="H70" s="69">
        <f>H64-H67</f>
        <v>87.21505485822604</v>
      </c>
      <c r="I70" s="69">
        <f t="shared" si="37"/>
        <v>363.57864806226002</v>
      </c>
      <c r="J70" s="69">
        <f t="shared" si="37"/>
        <v>317.07257975115215</v>
      </c>
      <c r="K70" s="69">
        <f t="shared" si="37"/>
        <v>347.10374590443922</v>
      </c>
      <c r="L70" s="69">
        <f t="shared" si="37"/>
        <v>378.47958689628581</v>
      </c>
      <c r="M70" s="69">
        <f t="shared" si="37"/>
        <v>353.26847202395646</v>
      </c>
      <c r="N70" s="69">
        <f t="shared" si="37"/>
        <v>384.61518832451429</v>
      </c>
      <c r="O70" s="69">
        <f t="shared" si="37"/>
        <v>407.17903248146251</v>
      </c>
      <c r="P70" s="69">
        <f t="shared" si="37"/>
        <v>422.80415272319107</v>
      </c>
      <c r="Q70" s="69">
        <f t="shared" si="37"/>
        <v>439.26457933907841</v>
      </c>
      <c r="R70" s="69">
        <f t="shared" si="37"/>
        <v>17.833253973451484</v>
      </c>
      <c r="S70" s="69">
        <f t="shared" si="37"/>
        <v>16.995052246381</v>
      </c>
      <c r="T70" s="69">
        <f t="shared" si="37"/>
        <v>16.140086484769093</v>
      </c>
      <c r="U70" s="69">
        <f t="shared" si="37"/>
        <v>15.2680214079249</v>
      </c>
      <c r="V70" s="69">
        <f t="shared" si="37"/>
        <v>14.37851502954388</v>
      </c>
      <c r="W70" s="69">
        <f t="shared" si="37"/>
        <v>13.471218523595207</v>
      </c>
      <c r="X70" s="69">
        <f t="shared" si="37"/>
        <v>12.545776087527569</v>
      </c>
      <c r="Y70" s="69">
        <f t="shared" si="37"/>
        <v>11.601824802738594</v>
      </c>
      <c r="Z70" s="69">
        <f t="shared" si="37"/>
        <v>10.638994492253781</v>
      </c>
      <c r="AA70" s="69">
        <f t="shared" si="37"/>
        <v>9.6569075755593676</v>
      </c>
      <c r="AB70" s="69">
        <f t="shared" si="37"/>
        <v>0.81941883762577294</v>
      </c>
    </row>
    <row r="71" spans="1:28">
      <c r="A71" s="32" t="s">
        <v>25</v>
      </c>
      <c r="B71" s="39"/>
      <c r="C71" s="53">
        <f t="shared" si="36"/>
        <v>-64.288418095458752</v>
      </c>
      <c r="D71" s="53">
        <f t="shared" si="36"/>
        <v>141.08625310661498</v>
      </c>
      <c r="E71" s="53">
        <f t="shared" si="36"/>
        <v>-10.966418592624013</v>
      </c>
      <c r="F71" s="53">
        <f t="shared" si="36"/>
        <v>67.74996159731235</v>
      </c>
      <c r="G71" s="53">
        <f t="shared" ref="G71:AB71" si="38">G65-G68</f>
        <v>68.520352133456925</v>
      </c>
      <c r="H71" s="53">
        <f t="shared" si="38"/>
        <v>14.137395179576043</v>
      </c>
      <c r="I71" s="53">
        <f t="shared" si="38"/>
        <v>283.85756477646004</v>
      </c>
      <c r="J71" s="53">
        <f t="shared" si="38"/>
        <v>317.07257975115215</v>
      </c>
      <c r="K71" s="53">
        <f t="shared" si="38"/>
        <v>347.10374590443922</v>
      </c>
      <c r="L71" s="53">
        <f t="shared" si="38"/>
        <v>378.47958689628581</v>
      </c>
      <c r="M71" s="53">
        <f t="shared" si="38"/>
        <v>353.26847202395646</v>
      </c>
      <c r="N71" s="53">
        <f t="shared" si="38"/>
        <v>384.61518832451429</v>
      </c>
      <c r="O71" s="53">
        <f t="shared" si="38"/>
        <v>407.17903248146251</v>
      </c>
      <c r="P71" s="53">
        <f t="shared" si="38"/>
        <v>422.80415272319107</v>
      </c>
      <c r="Q71" s="53">
        <f t="shared" si="38"/>
        <v>439.26457933907841</v>
      </c>
      <c r="R71" s="53">
        <f t="shared" si="38"/>
        <v>17.833253973451484</v>
      </c>
      <c r="S71" s="53">
        <f t="shared" si="38"/>
        <v>16.995052246381</v>
      </c>
      <c r="T71" s="53">
        <f t="shared" si="38"/>
        <v>16.140086484769093</v>
      </c>
      <c r="U71" s="53">
        <f t="shared" si="38"/>
        <v>15.2680214079249</v>
      </c>
      <c r="V71" s="53">
        <f t="shared" si="38"/>
        <v>14.37851502954388</v>
      </c>
      <c r="W71" s="53">
        <f t="shared" si="38"/>
        <v>13.471218523595207</v>
      </c>
      <c r="X71" s="53">
        <f t="shared" si="38"/>
        <v>12.545776087527569</v>
      </c>
      <c r="Y71" s="53">
        <f t="shared" si="38"/>
        <v>11.601824802738594</v>
      </c>
      <c r="Z71" s="53">
        <f t="shared" si="38"/>
        <v>10.638994492253781</v>
      </c>
      <c r="AA71" s="53">
        <f t="shared" si="38"/>
        <v>9.6569075755593676</v>
      </c>
      <c r="AB71" s="53">
        <f t="shared" si="38"/>
        <v>0.81941883762577294</v>
      </c>
    </row>
    <row r="72" spans="1:28">
      <c r="A72" s="32"/>
      <c r="B72" s="39"/>
      <c r="C72" s="53"/>
      <c r="D72" s="53"/>
      <c r="E72" s="53"/>
      <c r="F72" s="53"/>
      <c r="G72" s="53"/>
      <c r="H72" s="53"/>
      <c r="I72" s="53"/>
      <c r="J72" s="53"/>
      <c r="K72" s="53"/>
      <c r="L72" s="53"/>
      <c r="M72" s="53"/>
      <c r="N72" s="53"/>
      <c r="O72" s="53"/>
      <c r="P72" s="53"/>
      <c r="Q72" s="53"/>
      <c r="R72" s="53"/>
      <c r="S72" s="53"/>
      <c r="T72" s="53"/>
      <c r="U72" s="53"/>
      <c r="V72" s="53"/>
      <c r="W72" s="53"/>
      <c r="X72" s="53"/>
      <c r="Y72" s="53"/>
      <c r="Z72" s="53"/>
      <c r="AA72" s="53"/>
      <c r="AB72" s="53"/>
    </row>
    <row r="73" spans="1:28">
      <c r="A73" s="67" t="s">
        <v>26</v>
      </c>
      <c r="B73" s="68"/>
      <c r="C73" s="69">
        <f t="shared" ref="C73:AB73" si="39">C61-C49-C51</f>
        <v>-7206.5955410797014</v>
      </c>
      <c r="D73" s="69">
        <f t="shared" si="39"/>
        <v>3107.6667898550204</v>
      </c>
      <c r="E73" s="69">
        <f t="shared" si="39"/>
        <v>1941.7771480556682</v>
      </c>
      <c r="F73" s="69">
        <f t="shared" si="39"/>
        <v>359.26492405931413</v>
      </c>
      <c r="G73" s="69">
        <f t="shared" si="39"/>
        <v>360.17126586654308</v>
      </c>
      <c r="H73" s="69">
        <f t="shared" si="39"/>
        <v>446.45345187349488</v>
      </c>
      <c r="I73" s="69">
        <f t="shared" si="39"/>
        <v>1545.975933499622</v>
      </c>
      <c r="J73" s="69">
        <f t="shared" si="39"/>
        <v>1467.5491991495846</v>
      </c>
      <c r="K73" s="69">
        <f t="shared" si="39"/>
        <v>1482.6700598987986</v>
      </c>
      <c r="L73" s="69">
        <f t="shared" si="39"/>
        <v>1498.4044770808305</v>
      </c>
      <c r="M73" s="69">
        <f t="shared" si="39"/>
        <v>1446.5500119907799</v>
      </c>
      <c r="N73" s="69">
        <f t="shared" si="39"/>
        <v>1463.5793330154156</v>
      </c>
      <c r="O73" s="69">
        <f t="shared" si="39"/>
        <v>1481.2951558605441</v>
      </c>
      <c r="P73" s="69">
        <f t="shared" si="39"/>
        <v>1499.6776502625778</v>
      </c>
      <c r="Q73" s="69">
        <f t="shared" si="39"/>
        <v>2629.0043459918384</v>
      </c>
      <c r="R73" s="69">
        <f t="shared" si="39"/>
        <v>446.53011283711339</v>
      </c>
      <c r="S73" s="69">
        <f t="shared" si="39"/>
        <v>445.54399315820694</v>
      </c>
      <c r="T73" s="69">
        <f t="shared" si="39"/>
        <v>444.53815108572235</v>
      </c>
      <c r="U73" s="69">
        <f t="shared" si="39"/>
        <v>443.512192171788</v>
      </c>
      <c r="V73" s="69">
        <f t="shared" si="39"/>
        <v>442.46571407957504</v>
      </c>
      <c r="W73" s="69">
        <f t="shared" si="39"/>
        <v>441.39830642551777</v>
      </c>
      <c r="X73" s="69">
        <f t="shared" si="39"/>
        <v>440.30955061837938</v>
      </c>
      <c r="Y73" s="69">
        <f t="shared" si="39"/>
        <v>439.19901969509823</v>
      </c>
      <c r="Z73" s="69">
        <f t="shared" si="39"/>
        <v>438.06627815335139</v>
      </c>
      <c r="AA73" s="69">
        <f t="shared" si="39"/>
        <v>436.91088178076973</v>
      </c>
      <c r="AB73" s="69">
        <f t="shared" si="39"/>
        <v>36.42633620672801</v>
      </c>
    </row>
    <row r="74" spans="1:28">
      <c r="A74" s="32" t="s">
        <v>27</v>
      </c>
      <c r="B74" s="39"/>
      <c r="C74" s="53">
        <f t="shared" ref="C74:AB74" si="40">C62-C49-C51</f>
        <v>-7206.5955410797014</v>
      </c>
      <c r="D74" s="53">
        <f t="shared" si="40"/>
        <v>3021.6930725860207</v>
      </c>
      <c r="E74" s="53">
        <f t="shared" si="40"/>
        <v>1941.7771480556682</v>
      </c>
      <c r="F74" s="53">
        <f t="shared" si="40"/>
        <v>359.26492405931413</v>
      </c>
      <c r="G74" s="53">
        <f t="shared" si="40"/>
        <v>360.17126586654308</v>
      </c>
      <c r="H74" s="53">
        <f t="shared" si="40"/>
        <v>360.47973460449492</v>
      </c>
      <c r="I74" s="53">
        <f t="shared" si="40"/>
        <v>1452.186423751622</v>
      </c>
      <c r="J74" s="53">
        <f t="shared" si="40"/>
        <v>1467.5491991495846</v>
      </c>
      <c r="K74" s="53">
        <f t="shared" si="40"/>
        <v>1482.6700598987986</v>
      </c>
      <c r="L74" s="53">
        <f t="shared" si="40"/>
        <v>1498.4044770808305</v>
      </c>
      <c r="M74" s="53">
        <f t="shared" si="40"/>
        <v>1446.5500119907799</v>
      </c>
      <c r="N74" s="53">
        <f t="shared" si="40"/>
        <v>1463.5793330154156</v>
      </c>
      <c r="O74" s="53">
        <f t="shared" si="40"/>
        <v>1481.2951558605441</v>
      </c>
      <c r="P74" s="53">
        <f t="shared" si="40"/>
        <v>1499.6776502625778</v>
      </c>
      <c r="Q74" s="53">
        <f t="shared" si="40"/>
        <v>2629.0043459918384</v>
      </c>
      <c r="R74" s="53">
        <f t="shared" si="40"/>
        <v>446.53011283711339</v>
      </c>
      <c r="S74" s="53">
        <f t="shared" si="40"/>
        <v>445.54399315820694</v>
      </c>
      <c r="T74" s="53">
        <f t="shared" si="40"/>
        <v>444.53815108572235</v>
      </c>
      <c r="U74" s="53">
        <f t="shared" si="40"/>
        <v>443.512192171788</v>
      </c>
      <c r="V74" s="53">
        <f t="shared" si="40"/>
        <v>442.46571407957504</v>
      </c>
      <c r="W74" s="53">
        <f t="shared" si="40"/>
        <v>441.39830642551777</v>
      </c>
      <c r="X74" s="53">
        <f t="shared" si="40"/>
        <v>440.30955061837938</v>
      </c>
      <c r="Y74" s="53">
        <f t="shared" si="40"/>
        <v>439.19901969509823</v>
      </c>
      <c r="Z74" s="53">
        <f t="shared" si="40"/>
        <v>438.06627815335139</v>
      </c>
      <c r="AA74" s="53">
        <f t="shared" si="40"/>
        <v>436.91088178076973</v>
      </c>
      <c r="AB74" s="53">
        <f t="shared" si="40"/>
        <v>36.42633620672801</v>
      </c>
    </row>
    <row r="75" spans="1:28">
      <c r="A75" s="32"/>
      <c r="B75" s="39"/>
      <c r="C75" s="53"/>
      <c r="D75" s="53"/>
      <c r="E75" s="53"/>
      <c r="F75" s="53"/>
      <c r="G75" s="53"/>
      <c r="H75" s="53"/>
      <c r="I75" s="53"/>
      <c r="J75" s="53"/>
      <c r="K75" s="53"/>
      <c r="L75" s="53"/>
      <c r="M75" s="53"/>
      <c r="N75" s="53"/>
      <c r="O75" s="53"/>
      <c r="P75" s="53"/>
      <c r="Q75" s="53"/>
      <c r="R75" s="53"/>
      <c r="S75" s="53"/>
      <c r="T75" s="53"/>
      <c r="U75" s="53"/>
      <c r="V75" s="53"/>
      <c r="W75" s="53"/>
      <c r="X75" s="53"/>
      <c r="Y75" s="53"/>
      <c r="Z75" s="53"/>
      <c r="AA75" s="53"/>
      <c r="AB75" s="53"/>
    </row>
    <row r="76" spans="1:28">
      <c r="A76" s="67" t="s">
        <v>28</v>
      </c>
      <c r="B76" s="68"/>
      <c r="C76" s="69">
        <f>+C73</f>
        <v>-7206.5955410797014</v>
      </c>
      <c r="D76" s="69">
        <f>+D73+C76</f>
        <v>-4098.928751224681</v>
      </c>
      <c r="E76" s="69">
        <f>C76+E73</f>
        <v>-5264.818393024033</v>
      </c>
      <c r="F76" s="69">
        <f>+F73+E76</f>
        <v>-4905.5534689647193</v>
      </c>
      <c r="G76" s="69">
        <f>+G73+F76</f>
        <v>-4545.3822030981764</v>
      </c>
      <c r="H76" s="69">
        <f>+H73+G76</f>
        <v>-4098.9287512246819</v>
      </c>
      <c r="I76" s="69">
        <f>+I73+D76</f>
        <v>-2552.952817725059</v>
      </c>
      <c r="J76" s="69">
        <f>+J73+I76</f>
        <v>-1085.4036185754744</v>
      </c>
      <c r="K76" s="69">
        <f t="shared" ref="K76:Z76" si="41">K73+J76</f>
        <v>397.26644132332422</v>
      </c>
      <c r="L76" s="69">
        <f t="shared" si="41"/>
        <v>1895.6709184041547</v>
      </c>
      <c r="M76" s="69">
        <f t="shared" si="41"/>
        <v>3342.2209303949348</v>
      </c>
      <c r="N76" s="69">
        <f t="shared" si="41"/>
        <v>4805.8002634103505</v>
      </c>
      <c r="O76" s="69">
        <f t="shared" si="41"/>
        <v>6287.0954192708941</v>
      </c>
      <c r="P76" s="69">
        <f t="shared" si="41"/>
        <v>7786.7730695334722</v>
      </c>
      <c r="Q76" s="69">
        <f t="shared" si="41"/>
        <v>10415.77741552531</v>
      </c>
      <c r="R76" s="69">
        <f t="shared" si="41"/>
        <v>10862.307528362424</v>
      </c>
      <c r="S76" s="69">
        <f t="shared" si="41"/>
        <v>11307.851521520632</v>
      </c>
      <c r="T76" s="69">
        <f t="shared" si="41"/>
        <v>11752.389672606354</v>
      </c>
      <c r="U76" s="69">
        <f t="shared" si="41"/>
        <v>12195.901864778141</v>
      </c>
      <c r="V76" s="69">
        <f t="shared" si="41"/>
        <v>12638.367578857717</v>
      </c>
      <c r="W76" s="69">
        <f t="shared" si="41"/>
        <v>13079.765885283234</v>
      </c>
      <c r="X76" s="69">
        <f t="shared" si="41"/>
        <v>13520.075435901614</v>
      </c>
      <c r="Y76" s="69">
        <f t="shared" si="41"/>
        <v>13959.274455596711</v>
      </c>
      <c r="Z76" s="69">
        <f t="shared" si="41"/>
        <v>14397.340733750063</v>
      </c>
      <c r="AA76" s="69">
        <f>AA73+Z76</f>
        <v>14834.251615530833</v>
      </c>
      <c r="AB76" s="69">
        <f>AB73+AA76</f>
        <v>14870.677951737562</v>
      </c>
    </row>
    <row r="77" spans="1:28">
      <c r="A77" s="32" t="s">
        <v>29</v>
      </c>
      <c r="B77" s="39"/>
      <c r="C77" s="53">
        <f>+C74</f>
        <v>-7206.5955410797014</v>
      </c>
      <c r="D77" s="53">
        <f>D74+C77</f>
        <v>-4184.9024684936812</v>
      </c>
      <c r="E77" s="53">
        <f>+C77+E74</f>
        <v>-5264.818393024033</v>
      </c>
      <c r="F77" s="53">
        <f>+E77+F74</f>
        <v>-4905.5534689647193</v>
      </c>
      <c r="G77" s="53">
        <f>+F77+G74</f>
        <v>-4545.3822030981764</v>
      </c>
      <c r="H77" s="53">
        <f>+G77+H74</f>
        <v>-4184.9024684936812</v>
      </c>
      <c r="I77" s="53">
        <f>I74+D77</f>
        <v>-2732.7160447420592</v>
      </c>
      <c r="J77" s="53">
        <f t="shared" ref="J77:AB77" si="42">J74+I77</f>
        <v>-1265.1668455924746</v>
      </c>
      <c r="K77" s="53">
        <f t="shared" si="42"/>
        <v>217.50321430632403</v>
      </c>
      <c r="L77" s="53">
        <f t="shared" si="42"/>
        <v>1715.9076913871545</v>
      </c>
      <c r="M77" s="53">
        <f t="shared" si="42"/>
        <v>3162.4577033779342</v>
      </c>
      <c r="N77" s="53">
        <f t="shared" si="42"/>
        <v>4626.0370363933498</v>
      </c>
      <c r="O77" s="53">
        <f t="shared" si="42"/>
        <v>6107.3321922538944</v>
      </c>
      <c r="P77" s="53">
        <f t="shared" si="42"/>
        <v>7607.0098425164724</v>
      </c>
      <c r="Q77" s="53">
        <f t="shared" si="42"/>
        <v>10236.01418850831</v>
      </c>
      <c r="R77" s="53">
        <f t="shared" si="42"/>
        <v>10682.544301345424</v>
      </c>
      <c r="S77" s="53">
        <f t="shared" si="42"/>
        <v>11128.088294503632</v>
      </c>
      <c r="T77" s="53">
        <f t="shared" si="42"/>
        <v>11572.626445589354</v>
      </c>
      <c r="U77" s="53">
        <f t="shared" si="42"/>
        <v>12016.138637761142</v>
      </c>
      <c r="V77" s="53">
        <f t="shared" si="42"/>
        <v>12458.604351840717</v>
      </c>
      <c r="W77" s="53">
        <f t="shared" si="42"/>
        <v>12900.002658266234</v>
      </c>
      <c r="X77" s="53">
        <f t="shared" si="42"/>
        <v>13340.312208884614</v>
      </c>
      <c r="Y77" s="53">
        <f t="shared" si="42"/>
        <v>13779.511228579711</v>
      </c>
      <c r="Z77" s="53">
        <f t="shared" si="42"/>
        <v>14217.577506733063</v>
      </c>
      <c r="AA77" s="53">
        <f t="shared" si="42"/>
        <v>14654.488388513833</v>
      </c>
      <c r="AB77" s="53">
        <f t="shared" si="42"/>
        <v>14690.914724720562</v>
      </c>
    </row>
    <row r="78" spans="1:28">
      <c r="A78" s="32"/>
      <c r="B78" s="39"/>
      <c r="C78" s="53"/>
      <c r="D78" s="53"/>
      <c r="E78" s="53"/>
      <c r="F78" s="53"/>
      <c r="G78" s="53"/>
      <c r="H78" s="53"/>
      <c r="I78" s="53"/>
      <c r="J78" s="53"/>
      <c r="K78" s="53"/>
      <c r="L78" s="53"/>
      <c r="M78" s="53"/>
      <c r="N78" s="53"/>
      <c r="O78" s="53"/>
      <c r="P78" s="53"/>
      <c r="Q78" s="53"/>
      <c r="R78" s="53"/>
      <c r="S78" s="53"/>
      <c r="T78" s="53"/>
      <c r="U78" s="53"/>
      <c r="V78" s="53"/>
      <c r="W78" s="53"/>
      <c r="X78" s="53"/>
      <c r="Y78" s="53"/>
      <c r="Z78" s="53"/>
      <c r="AA78" s="53"/>
      <c r="AB78" s="53"/>
    </row>
    <row r="79" spans="1:28">
      <c r="A79" s="32"/>
      <c r="B79" s="39"/>
      <c r="C79" s="53"/>
      <c r="D79" s="53"/>
      <c r="E79" s="53"/>
      <c r="F79" s="53"/>
      <c r="G79" s="53"/>
      <c r="H79" s="53"/>
      <c r="I79" s="53"/>
      <c r="J79" s="53"/>
      <c r="K79" s="53"/>
      <c r="L79" s="53"/>
      <c r="M79" s="53"/>
      <c r="N79" s="53"/>
      <c r="O79" s="53"/>
      <c r="P79" s="53"/>
      <c r="Q79" s="53"/>
      <c r="R79" s="53"/>
      <c r="S79" s="53"/>
      <c r="T79" s="53"/>
      <c r="U79" s="53"/>
      <c r="V79" s="53"/>
      <c r="W79" s="53"/>
      <c r="X79" s="53"/>
      <c r="Y79" s="53"/>
      <c r="Z79" s="53"/>
      <c r="AA79" s="53"/>
      <c r="AB79" s="53"/>
    </row>
    <row r="80" spans="1:28">
      <c r="A80" s="73">
        <f>-'Initial data'!C55</f>
        <v>-8511</v>
      </c>
      <c r="B80" s="39"/>
      <c r="C80" s="53">
        <f>C61-C67</f>
        <v>-22.867241079703426</v>
      </c>
      <c r="D80" s="53">
        <f>D61-D67</f>
        <v>1014.1591579469111</v>
      </c>
      <c r="E80" s="53">
        <f t="shared" ref="E80:AB80" si="43">E61-E67</f>
        <v>160.59218775993992</v>
      </c>
      <c r="F80" s="53">
        <f t="shared" si="43"/>
        <v>256.7086203693234</v>
      </c>
      <c r="G80" s="53">
        <f t="shared" si="43"/>
        <v>256.57266909823903</v>
      </c>
      <c r="H80" s="53">
        <f t="shared" si="43"/>
        <v>338.64071793051511</v>
      </c>
      <c r="I80" s="53">
        <f t="shared" si="43"/>
        <v>1102.7996658018333</v>
      </c>
      <c r="J80" s="53">
        <f t="shared" si="43"/>
        <v>1017.2171092852052</v>
      </c>
      <c r="K80" s="53">
        <f t="shared" si="43"/>
        <v>1011.075848077955</v>
      </c>
      <c r="L80" s="53">
        <f t="shared" si="43"/>
        <v>1004.6804584379431</v>
      </c>
      <c r="M80" s="53">
        <f>M61-M67</f>
        <v>940.03192465525115</v>
      </c>
      <c r="N80" s="53">
        <f t="shared" si="43"/>
        <v>933.60699221508173</v>
      </c>
      <c r="O80" s="53">
        <f t="shared" si="43"/>
        <v>928.714115208983</v>
      </c>
      <c r="P80" s="53">
        <f t="shared" si="43"/>
        <v>925.02749845070798</v>
      </c>
      <c r="Q80" s="53">
        <f t="shared" si="43"/>
        <v>921.17488983326916</v>
      </c>
      <c r="R80" s="53">
        <f t="shared" si="43"/>
        <v>443.383068018269</v>
      </c>
      <c r="S80" s="53">
        <f t="shared" si="43"/>
        <v>442.54486629119856</v>
      </c>
      <c r="T80" s="53">
        <f t="shared" si="43"/>
        <v>441.68990052958662</v>
      </c>
      <c r="U80" s="53">
        <f t="shared" si="43"/>
        <v>440.81783545274243</v>
      </c>
      <c r="V80" s="53">
        <f t="shared" si="43"/>
        <v>439.92832907436139</v>
      </c>
      <c r="W80" s="53">
        <f t="shared" si="43"/>
        <v>439.02103256841275</v>
      </c>
      <c r="X80" s="53">
        <f t="shared" si="43"/>
        <v>438.09559013234508</v>
      </c>
      <c r="Y80" s="53">
        <f t="shared" si="43"/>
        <v>437.15163884755611</v>
      </c>
      <c r="Z80" s="53">
        <f t="shared" si="43"/>
        <v>436.18880853707134</v>
      </c>
      <c r="AA80" s="53">
        <f t="shared" si="43"/>
        <v>435.20672162037692</v>
      </c>
      <c r="AB80" s="53">
        <f t="shared" si="43"/>
        <v>36.281732882441112</v>
      </c>
    </row>
    <row r="81" spans="1:28">
      <c r="A81" s="73">
        <f>A80</f>
        <v>-8511</v>
      </c>
      <c r="B81" s="39"/>
      <c r="C81" s="53">
        <f>C62-C68</f>
        <v>-22.867241079703426</v>
      </c>
      <c r="D81" s="53">
        <f>D62-D68</f>
        <v>941.08149826826116</v>
      </c>
      <c r="E81" s="53">
        <f t="shared" ref="E81:AB81" si="44">E62-E68</f>
        <v>160.59218775993992</v>
      </c>
      <c r="F81" s="53">
        <f t="shared" si="44"/>
        <v>256.7086203693234</v>
      </c>
      <c r="G81" s="53">
        <f t="shared" si="44"/>
        <v>256.57266909823903</v>
      </c>
      <c r="H81" s="53">
        <f t="shared" si="44"/>
        <v>265.56305825186519</v>
      </c>
      <c r="I81" s="53">
        <f t="shared" si="44"/>
        <v>1023.0785825160332</v>
      </c>
      <c r="J81" s="53">
        <f t="shared" si="44"/>
        <v>1017.2171092852052</v>
      </c>
      <c r="K81" s="53">
        <f t="shared" si="44"/>
        <v>1011.075848077955</v>
      </c>
      <c r="L81" s="53">
        <f t="shared" si="44"/>
        <v>1004.6804584379431</v>
      </c>
      <c r="M81" s="53">
        <f t="shared" si="44"/>
        <v>940.03192465525115</v>
      </c>
      <c r="N81" s="53">
        <f t="shared" si="44"/>
        <v>933.60699221508173</v>
      </c>
      <c r="O81" s="53">
        <f t="shared" si="44"/>
        <v>928.714115208983</v>
      </c>
      <c r="P81" s="53">
        <f t="shared" si="44"/>
        <v>925.02749845070798</v>
      </c>
      <c r="Q81" s="53">
        <f t="shared" si="44"/>
        <v>921.17488983326916</v>
      </c>
      <c r="R81" s="53">
        <f t="shared" si="44"/>
        <v>443.383068018269</v>
      </c>
      <c r="S81" s="53">
        <f t="shared" si="44"/>
        <v>442.54486629119856</v>
      </c>
      <c r="T81" s="53">
        <f t="shared" si="44"/>
        <v>441.68990052958662</v>
      </c>
      <c r="U81" s="53">
        <f t="shared" si="44"/>
        <v>440.81783545274243</v>
      </c>
      <c r="V81" s="53">
        <f t="shared" si="44"/>
        <v>439.92832907436139</v>
      </c>
      <c r="W81" s="53">
        <f t="shared" si="44"/>
        <v>439.02103256841275</v>
      </c>
      <c r="X81" s="53">
        <f t="shared" si="44"/>
        <v>438.09559013234508</v>
      </c>
      <c r="Y81" s="53">
        <f t="shared" si="44"/>
        <v>437.15163884755611</v>
      </c>
      <c r="Z81" s="53">
        <f t="shared" si="44"/>
        <v>436.18880853707134</v>
      </c>
      <c r="AA81" s="53">
        <f t="shared" si="44"/>
        <v>435.20672162037692</v>
      </c>
      <c r="AB81" s="53">
        <f t="shared" si="44"/>
        <v>36.281732882441112</v>
      </c>
    </row>
    <row r="82" spans="1:28">
      <c r="A82" s="32"/>
      <c r="B82" s="39"/>
      <c r="C82" s="53"/>
      <c r="D82" s="53"/>
      <c r="E82" s="53"/>
      <c r="F82" s="53"/>
      <c r="G82" s="53"/>
      <c r="H82" s="53"/>
      <c r="I82" s="53"/>
      <c r="J82" s="53"/>
      <c r="K82" s="53"/>
      <c r="L82" s="53"/>
      <c r="M82" s="53"/>
      <c r="N82" s="53"/>
      <c r="O82" s="53"/>
      <c r="P82" s="53"/>
      <c r="Q82" s="53"/>
      <c r="R82" s="53"/>
      <c r="S82" s="53"/>
      <c r="T82" s="53"/>
      <c r="U82" s="53"/>
      <c r="V82" s="53"/>
      <c r="W82" s="53"/>
      <c r="X82" s="53"/>
      <c r="Y82" s="53"/>
      <c r="Z82" s="53"/>
      <c r="AA82" s="53"/>
      <c r="AB82" s="53"/>
    </row>
    <row r="83" spans="1:28" s="77" customFormat="1">
      <c r="A83" s="74"/>
      <c r="B83" s="75"/>
      <c r="C83" s="76"/>
      <c r="D83" s="76"/>
      <c r="E83" s="76"/>
      <c r="F83" s="76"/>
      <c r="G83" s="170">
        <v>2010</v>
      </c>
      <c r="H83" s="170">
        <v>2011</v>
      </c>
      <c r="I83" s="170">
        <v>2012</v>
      </c>
      <c r="J83" s="170">
        <v>2013</v>
      </c>
      <c r="K83" s="170">
        <v>2014</v>
      </c>
      <c r="L83" s="170">
        <v>2015</v>
      </c>
      <c r="M83" s="170">
        <v>2016</v>
      </c>
      <c r="N83" s="170">
        <v>2017</v>
      </c>
      <c r="O83" s="170">
        <v>2018</v>
      </c>
      <c r="P83" s="170">
        <v>2019</v>
      </c>
      <c r="Q83" s="170">
        <v>2020</v>
      </c>
      <c r="R83" s="170">
        <v>2021</v>
      </c>
      <c r="S83" s="170">
        <v>2022</v>
      </c>
      <c r="T83" s="170">
        <v>2023</v>
      </c>
      <c r="U83" s="170">
        <v>2024</v>
      </c>
      <c r="V83" s="170">
        <v>2025</v>
      </c>
      <c r="W83" s="170">
        <v>2026</v>
      </c>
      <c r="X83" s="170">
        <v>2027</v>
      </c>
      <c r="Y83" s="170">
        <v>2028</v>
      </c>
      <c r="Z83" s="170">
        <v>2029</v>
      </c>
      <c r="AA83" s="170">
        <v>2030</v>
      </c>
      <c r="AB83" s="170">
        <v>2031</v>
      </c>
    </row>
    <row r="84" spans="1:28" s="77" customFormat="1">
      <c r="A84" s="171" t="s">
        <v>56</v>
      </c>
      <c r="B84" s="75"/>
      <c r="C84" s="53"/>
      <c r="D84" s="53"/>
      <c r="E84" s="53"/>
      <c r="F84" s="53">
        <f>+A80</f>
        <v>-8511</v>
      </c>
      <c r="G84" s="53">
        <f>+C80</f>
        <v>-22.867241079703426</v>
      </c>
      <c r="H84" s="53">
        <f>+D80</f>
        <v>1014.1591579469111</v>
      </c>
      <c r="I84" s="53">
        <f>+I80</f>
        <v>1102.7996658018333</v>
      </c>
      <c r="J84" s="53">
        <f t="shared" ref="J84:AB84" si="45">+J80</f>
        <v>1017.2171092852052</v>
      </c>
      <c r="K84" s="53">
        <f t="shared" si="45"/>
        <v>1011.075848077955</v>
      </c>
      <c r="L84" s="53">
        <f t="shared" si="45"/>
        <v>1004.6804584379431</v>
      </c>
      <c r="M84" s="53">
        <f t="shared" si="45"/>
        <v>940.03192465525115</v>
      </c>
      <c r="N84" s="53">
        <f t="shared" si="45"/>
        <v>933.60699221508173</v>
      </c>
      <c r="O84" s="53">
        <f t="shared" si="45"/>
        <v>928.714115208983</v>
      </c>
      <c r="P84" s="53">
        <f t="shared" si="45"/>
        <v>925.02749845070798</v>
      </c>
      <c r="Q84" s="53">
        <f t="shared" si="45"/>
        <v>921.17488983326916</v>
      </c>
      <c r="R84" s="53">
        <f t="shared" si="45"/>
        <v>443.383068018269</v>
      </c>
      <c r="S84" s="53">
        <f t="shared" si="45"/>
        <v>442.54486629119856</v>
      </c>
      <c r="T84" s="53">
        <f t="shared" si="45"/>
        <v>441.68990052958662</v>
      </c>
      <c r="U84" s="53">
        <f t="shared" si="45"/>
        <v>440.81783545274243</v>
      </c>
      <c r="V84" s="53">
        <f t="shared" si="45"/>
        <v>439.92832907436139</v>
      </c>
      <c r="W84" s="53">
        <f t="shared" si="45"/>
        <v>439.02103256841275</v>
      </c>
      <c r="X84" s="53">
        <f t="shared" si="45"/>
        <v>438.09559013234508</v>
      </c>
      <c r="Y84" s="53">
        <f t="shared" si="45"/>
        <v>437.15163884755611</v>
      </c>
      <c r="Z84" s="53">
        <f t="shared" si="45"/>
        <v>436.18880853707134</v>
      </c>
      <c r="AA84" s="53">
        <f t="shared" si="45"/>
        <v>435.20672162037692</v>
      </c>
      <c r="AB84" s="53">
        <f t="shared" si="45"/>
        <v>36.281732882441112</v>
      </c>
    </row>
    <row r="85" spans="1:28" s="77" customFormat="1">
      <c r="A85" s="171" t="s">
        <v>55</v>
      </c>
      <c r="B85" s="75"/>
      <c r="C85" s="53"/>
      <c r="D85" s="53"/>
      <c r="E85" s="53"/>
      <c r="F85" s="53">
        <f>+A81</f>
        <v>-8511</v>
      </c>
      <c r="G85" s="53">
        <f>+C81</f>
        <v>-22.867241079703426</v>
      </c>
      <c r="H85" s="53">
        <f>+D81</f>
        <v>941.08149826826116</v>
      </c>
      <c r="I85" s="53">
        <f>+I81</f>
        <v>1023.0785825160332</v>
      </c>
      <c r="J85" s="53">
        <f t="shared" ref="J85:AB85" si="46">+J81</f>
        <v>1017.2171092852052</v>
      </c>
      <c r="K85" s="53">
        <f t="shared" si="46"/>
        <v>1011.075848077955</v>
      </c>
      <c r="L85" s="53">
        <f t="shared" si="46"/>
        <v>1004.6804584379431</v>
      </c>
      <c r="M85" s="53">
        <f t="shared" si="46"/>
        <v>940.03192465525115</v>
      </c>
      <c r="N85" s="53">
        <f t="shared" si="46"/>
        <v>933.60699221508173</v>
      </c>
      <c r="O85" s="53">
        <f t="shared" si="46"/>
        <v>928.714115208983</v>
      </c>
      <c r="P85" s="53">
        <f t="shared" si="46"/>
        <v>925.02749845070798</v>
      </c>
      <c r="Q85" s="53">
        <f t="shared" si="46"/>
        <v>921.17488983326916</v>
      </c>
      <c r="R85" s="53">
        <f t="shared" si="46"/>
        <v>443.383068018269</v>
      </c>
      <c r="S85" s="53">
        <f t="shared" si="46"/>
        <v>442.54486629119856</v>
      </c>
      <c r="T85" s="53">
        <f t="shared" si="46"/>
        <v>441.68990052958662</v>
      </c>
      <c r="U85" s="53">
        <f t="shared" si="46"/>
        <v>440.81783545274243</v>
      </c>
      <c r="V85" s="53">
        <f t="shared" si="46"/>
        <v>439.92832907436139</v>
      </c>
      <c r="W85" s="53">
        <f t="shared" si="46"/>
        <v>439.02103256841275</v>
      </c>
      <c r="X85" s="53">
        <f t="shared" si="46"/>
        <v>438.09559013234508</v>
      </c>
      <c r="Y85" s="53">
        <f t="shared" si="46"/>
        <v>437.15163884755611</v>
      </c>
      <c r="Z85" s="53">
        <f t="shared" si="46"/>
        <v>436.18880853707134</v>
      </c>
      <c r="AA85" s="53">
        <f t="shared" si="46"/>
        <v>435.20672162037692</v>
      </c>
      <c r="AB85" s="53">
        <f t="shared" si="46"/>
        <v>36.281732882441112</v>
      </c>
    </row>
    <row r="86" spans="1:28" s="77" customFormat="1" ht="15.75" thickBot="1">
      <c r="A86" s="74"/>
      <c r="B86" s="75"/>
      <c r="C86" s="53"/>
      <c r="D86" s="53"/>
      <c r="E86" s="53"/>
      <c r="F86" s="53"/>
      <c r="G86" s="53"/>
      <c r="H86" s="53"/>
      <c r="I86" s="53"/>
      <c r="J86" s="53"/>
      <c r="K86" s="53"/>
      <c r="L86" s="53"/>
      <c r="M86" s="53"/>
      <c r="N86" s="53"/>
      <c r="O86" s="53"/>
      <c r="P86" s="53"/>
      <c r="Q86" s="53"/>
      <c r="R86" s="53"/>
      <c r="S86" s="53"/>
      <c r="T86" s="53"/>
      <c r="U86" s="53"/>
      <c r="V86" s="53"/>
      <c r="W86" s="53"/>
      <c r="X86" s="53"/>
      <c r="Y86" s="53"/>
      <c r="Z86" s="53"/>
      <c r="AA86" s="53"/>
      <c r="AB86" s="178"/>
    </row>
    <row r="87" spans="1:28" s="77" customFormat="1" ht="15.75" thickBot="1">
      <c r="A87" s="74" t="s">
        <v>30</v>
      </c>
      <c r="B87" s="75"/>
      <c r="C87" s="53"/>
      <c r="D87" s="53"/>
      <c r="E87" s="53"/>
      <c r="F87" s="53"/>
      <c r="G87" s="76" t="e">
        <f>IRR($F$84:G84,-50)</f>
        <v>#VALUE!</v>
      </c>
      <c r="H87" s="76" t="e">
        <f>IRR($F$84:H84,)</f>
        <v>#NUM!</v>
      </c>
      <c r="I87" s="76" t="e">
        <f>IRR($F$84:I84,)</f>
        <v>#NUM!</v>
      </c>
      <c r="J87" s="76">
        <f>IRR($F$84:J84,)</f>
        <v>-0.27599255389964328</v>
      </c>
      <c r="K87" s="76">
        <f>IRR($F$84:K84,)</f>
        <v>-0.18137991325985264</v>
      </c>
      <c r="L87" s="76">
        <f>IRR($F$84:L84,)</f>
        <v>-0.11596877397506219</v>
      </c>
      <c r="M87" s="76">
        <f>IRR($F$84:M84,)</f>
        <v>-7.1495594334999954E-2</v>
      </c>
      <c r="N87" s="76">
        <f>IRR($F$84:N84,)</f>
        <v>-3.8267687308640344E-2</v>
      </c>
      <c r="O87" s="76">
        <f>IRR($F$84:O84,)</f>
        <v>-1.2925554610446033E-2</v>
      </c>
      <c r="P87" s="76">
        <f>IRR($F$84:P84,)</f>
        <v>6.7684788741279129E-3</v>
      </c>
      <c r="Q87" s="76">
        <f>IRR($F$84:Q84,)</f>
        <v>2.2310598190558285E-2</v>
      </c>
      <c r="R87" s="76">
        <f>IRR($F$84:R84,)</f>
        <v>2.8607216855510483E-2</v>
      </c>
      <c r="S87" s="76">
        <f>IRR($F$84:S84,)</f>
        <v>3.4173616168488873E-2</v>
      </c>
      <c r="T87" s="76">
        <f>IRR($F$84:T84,)</f>
        <v>3.9081474430126203E-2</v>
      </c>
      <c r="U87" s="76">
        <f>IRR($F$84:U84,)</f>
        <v>4.3404077135755531E-2</v>
      </c>
      <c r="V87" s="76">
        <f>IRR($F$84:V84,)</f>
        <v>4.721132034781092E-2</v>
      </c>
      <c r="W87" s="76">
        <f>IRR($F$84:W84,)</f>
        <v>5.0567241268754982E-2</v>
      </c>
      <c r="X87" s="76">
        <f>IRR($F$84:X84,)</f>
        <v>5.3529089838525709E-2</v>
      </c>
      <c r="Y87" s="76">
        <f>IRR($F$84:Y84,)</f>
        <v>5.6147275337125893E-2</v>
      </c>
      <c r="Z87" s="76">
        <f>IRR($F$84:Z84,)</f>
        <v>5.8465769059459119E-2</v>
      </c>
      <c r="AA87" s="177">
        <f>IRR($F$84:AA84,)</f>
        <v>6.0522713033472376E-2</v>
      </c>
      <c r="AB87" s="179">
        <f>IRR($F$84:AB84,)</f>
        <v>6.0679396916673116E-2</v>
      </c>
    </row>
    <row r="88" spans="1:28" s="77" customFormat="1">
      <c r="A88" s="74" t="s">
        <v>31</v>
      </c>
      <c r="B88" s="75"/>
      <c r="C88" s="53"/>
      <c r="D88" s="53"/>
      <c r="E88" s="53"/>
      <c r="F88" s="53"/>
      <c r="G88" s="76" t="e">
        <f>IRR($F$85:G85,-50)</f>
        <v>#VALUE!</v>
      </c>
      <c r="H88" s="76" t="e">
        <f>IRR($F$85:H85,)</f>
        <v>#NUM!</v>
      </c>
      <c r="I88" s="76" t="e">
        <f>IRR($F$85:I85,)</f>
        <v>#NUM!</v>
      </c>
      <c r="J88" s="76">
        <f>IRR($F$85:J85,)</f>
        <v>-0.28528647465917722</v>
      </c>
      <c r="K88" s="76">
        <f>IRR($F$85:K85,)</f>
        <v>-0.18792162870632304</v>
      </c>
      <c r="L88" s="76">
        <f>IRR($F$85:L85,)</f>
        <v>-0.12108799553183007</v>
      </c>
      <c r="M88" s="76">
        <f>IRR($F$85:M85,)</f>
        <v>-7.579221602213497E-2</v>
      </c>
      <c r="N88" s="76">
        <f>IRR($F$85:N85,)</f>
        <v>-4.2003504448697965E-2</v>
      </c>
      <c r="O88" s="76">
        <f>IRR($F$85:O85,)</f>
        <v>-1.6257398325220749E-2</v>
      </c>
      <c r="P88" s="76">
        <f>IRR($F$85:P85,)</f>
        <v>3.740367432847452E-3</v>
      </c>
      <c r="Q88" s="76">
        <f>IRR($F$85:Q85,)</f>
        <v>1.9518384520980252E-2</v>
      </c>
      <c r="R88" s="76">
        <f>IRR($F$85:R85,)</f>
        <v>2.5914330286876824E-2</v>
      </c>
      <c r="S88" s="76">
        <f>IRR($F$85:S85,)</f>
        <v>3.1575156395794737E-2</v>
      </c>
      <c r="T88" s="76">
        <f>IRR($F$85:T85,)</f>
        <v>3.6571279280471734E-2</v>
      </c>
      <c r="U88" s="76">
        <f>IRR($F$85:U85,)</f>
        <v>4.0975518632164913E-2</v>
      </c>
      <c r="V88" s="76">
        <f>IRR($F$85:V85,)</f>
        <v>4.4857785163564555E-2</v>
      </c>
      <c r="W88" s="76">
        <f>IRR($F$85:W85,)</f>
        <v>4.8282400069520129E-2</v>
      </c>
      <c r="X88" s="76">
        <f>IRR($F$85:X85,)</f>
        <v>5.1307032939278484E-2</v>
      </c>
      <c r="Y88" s="76">
        <f>IRR($F$85:Y85,)</f>
        <v>5.3982567282224982E-2</v>
      </c>
      <c r="Z88" s="76">
        <f>IRR($F$85:Z85,)</f>
        <v>5.6353456095165858E-2</v>
      </c>
      <c r="AA88" s="76">
        <f>IRR($F$85:AA85,)</f>
        <v>5.8458304679689134E-2</v>
      </c>
      <c r="AB88" s="180">
        <f>IRR($F$85:AB85,)</f>
        <v>5.8618838604164593E-2</v>
      </c>
    </row>
  </sheetData>
  <phoneticPr fontId="36"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C2:J25"/>
  <sheetViews>
    <sheetView topLeftCell="A16" zoomScale="75" workbookViewId="0">
      <selection activeCell="E13" sqref="E13"/>
    </sheetView>
  </sheetViews>
  <sheetFormatPr defaultRowHeight="12.75"/>
  <cols>
    <col min="1" max="3" width="9.140625" style="97"/>
    <col min="4" max="4" width="24.140625" style="97" customWidth="1"/>
    <col min="5" max="5" width="12" style="97" customWidth="1"/>
    <col min="6" max="8" width="11.28515625" style="97" bestFit="1" customWidth="1"/>
    <col min="9" max="9" width="11.140625" style="97" customWidth="1"/>
    <col min="10" max="16384" width="9.140625" style="97"/>
  </cols>
  <sheetData>
    <row r="2" spans="3:10">
      <c r="C2" s="93"/>
      <c r="D2" s="94" t="s">
        <v>41</v>
      </c>
      <c r="E2" s="95"/>
      <c r="F2" s="96"/>
      <c r="G2" s="96"/>
      <c r="H2" s="96"/>
      <c r="I2" s="96"/>
      <c r="J2" s="96"/>
    </row>
    <row r="3" spans="3:10">
      <c r="C3" s="93"/>
      <c r="D3" s="94"/>
      <c r="E3" s="95"/>
      <c r="F3" s="96"/>
      <c r="G3" s="96"/>
      <c r="H3" s="96"/>
      <c r="I3" s="96"/>
      <c r="J3" s="96"/>
    </row>
    <row r="4" spans="3:10">
      <c r="C4" s="93"/>
      <c r="D4" s="94"/>
      <c r="E4" s="95"/>
      <c r="F4" s="96"/>
      <c r="G4" s="96"/>
      <c r="H4" s="96"/>
      <c r="I4" s="96"/>
      <c r="J4" s="96"/>
    </row>
    <row r="5" spans="3:10" ht="15">
      <c r="C5" s="98"/>
      <c r="D5" s="99" t="s">
        <v>176</v>
      </c>
      <c r="E5" s="100">
        <v>-0.2</v>
      </c>
      <c r="F5" s="100">
        <v>-0.1</v>
      </c>
      <c r="G5" s="101">
        <v>0</v>
      </c>
      <c r="H5" s="100">
        <v>0.1</v>
      </c>
      <c r="I5" s="100">
        <v>0.2</v>
      </c>
      <c r="J5" s="102"/>
    </row>
    <row r="6" spans="3:10" ht="15">
      <c r="C6" s="98"/>
      <c r="D6" s="103" t="s">
        <v>42</v>
      </c>
      <c r="E6" s="106">
        <f>($G$6*E5)+$G$6</f>
        <v>37.133920296570906</v>
      </c>
      <c r="F6" s="106">
        <f>($G$6*F5)+$G$6</f>
        <v>41.775660333642264</v>
      </c>
      <c r="G6" s="184">
        <f>+'Initial data'!C5</f>
        <v>46.417400370713629</v>
      </c>
      <c r="H6" s="106">
        <f>($G$6*H5)+$G$6</f>
        <v>51.059140407784994</v>
      </c>
      <c r="I6" s="106">
        <f>($G$6*I5)+$G$6</f>
        <v>55.700880444856352</v>
      </c>
      <c r="J6" s="102"/>
    </row>
    <row r="7" spans="3:10" ht="15">
      <c r="C7" s="98"/>
      <c r="D7" s="103" t="s">
        <v>43</v>
      </c>
      <c r="E7" s="169">
        <v>5.2499999999999998E-2</v>
      </c>
      <c r="F7" s="169">
        <v>5.6899999999999999E-2</v>
      </c>
      <c r="G7" s="168">
        <v>6.0699999999999997E-2</v>
      </c>
      <c r="H7" s="169">
        <v>6.3799999999999996E-2</v>
      </c>
      <c r="I7" s="169">
        <v>6.6799999999999998E-2</v>
      </c>
      <c r="J7" s="102"/>
    </row>
    <row r="8" spans="3:10">
      <c r="C8" s="93"/>
      <c r="D8" s="94"/>
      <c r="E8" s="95"/>
      <c r="F8" s="96"/>
      <c r="G8" s="96"/>
      <c r="H8" s="96"/>
      <c r="I8" s="96"/>
      <c r="J8" s="96"/>
    </row>
    <row r="9" spans="3:10">
      <c r="C9" s="93"/>
      <c r="D9" s="107"/>
      <c r="E9" s="95"/>
      <c r="F9" s="96"/>
      <c r="G9" s="96"/>
      <c r="H9" s="96"/>
      <c r="I9" s="96"/>
      <c r="J9" s="96"/>
    </row>
    <row r="10" spans="3:10" ht="15">
      <c r="C10" s="98"/>
      <c r="D10" s="99" t="s">
        <v>44</v>
      </c>
      <c r="E10" s="100">
        <v>-0.2</v>
      </c>
      <c r="F10" s="100">
        <v>-0.1</v>
      </c>
      <c r="G10" s="101">
        <v>0</v>
      </c>
      <c r="H10" s="100">
        <v>0.1</v>
      </c>
      <c r="I10" s="100">
        <v>0.2</v>
      </c>
      <c r="J10" s="102"/>
    </row>
    <row r="11" spans="3:10" ht="15">
      <c r="C11" s="98"/>
      <c r="D11" s="103" t="s">
        <v>45</v>
      </c>
      <c r="E11" s="104">
        <f>($G$11*E10)+$G$11</f>
        <v>10896</v>
      </c>
      <c r="F11" s="104">
        <f>($G$11*F10)+$G$11</f>
        <v>12258</v>
      </c>
      <c r="G11" s="105">
        <v>13620</v>
      </c>
      <c r="H11" s="104">
        <f>($G$11*H10)+$G$11</f>
        <v>14982</v>
      </c>
      <c r="I11" s="104">
        <f>($G$11*I10)+$G$11</f>
        <v>16344</v>
      </c>
      <c r="J11" s="102"/>
    </row>
    <row r="12" spans="3:10" ht="15">
      <c r="C12" s="98"/>
      <c r="D12" s="103" t="s">
        <v>43</v>
      </c>
      <c r="E12" s="169">
        <v>2.9499999999999998E-2</v>
      </c>
      <c r="F12" s="169">
        <v>4.5900000000000003E-2</v>
      </c>
      <c r="G12" s="168">
        <f>+G7</f>
        <v>6.0699999999999997E-2</v>
      </c>
      <c r="H12" s="169">
        <v>7.2800000000000004E-2</v>
      </c>
      <c r="I12" s="169">
        <v>8.4500000000000006E-2</v>
      </c>
      <c r="J12" s="102"/>
    </row>
    <row r="13" spans="3:10" ht="15">
      <c r="C13" s="98"/>
      <c r="D13" s="103"/>
      <c r="E13" s="108"/>
      <c r="F13" s="109"/>
      <c r="G13" s="110"/>
      <c r="H13" s="109"/>
      <c r="I13" s="109"/>
      <c r="J13" s="102"/>
    </row>
    <row r="14" spans="3:10" ht="15">
      <c r="C14" s="98"/>
      <c r="D14" s="111"/>
      <c r="E14" s="111"/>
      <c r="F14" s="111"/>
      <c r="G14" s="111"/>
      <c r="H14" s="111"/>
      <c r="I14" s="111"/>
      <c r="J14" s="102"/>
    </row>
    <row r="15" spans="3:10" ht="15">
      <c r="C15" s="98"/>
      <c r="D15" s="112" t="s">
        <v>46</v>
      </c>
      <c r="E15" s="100">
        <v>-0.2</v>
      </c>
      <c r="F15" s="100">
        <v>-0.1</v>
      </c>
      <c r="G15" s="113">
        <v>0</v>
      </c>
      <c r="H15" s="100">
        <v>0.1</v>
      </c>
      <c r="I15" s="100">
        <v>0.2</v>
      </c>
      <c r="J15" s="102"/>
    </row>
    <row r="16" spans="3:10" ht="15">
      <c r="C16" s="98"/>
      <c r="D16" s="114" t="s">
        <v>47</v>
      </c>
      <c r="E16" s="106">
        <f>($G$16*E15)+$G$16</f>
        <v>8.8000000000000007</v>
      </c>
      <c r="F16" s="106">
        <f>($G$16*F15)+$G$16</f>
        <v>9.9</v>
      </c>
      <c r="G16" s="115">
        <v>11</v>
      </c>
      <c r="H16" s="106">
        <f>($G$16*H15)+$G$16</f>
        <v>12.1</v>
      </c>
      <c r="I16" s="106">
        <f>($G$16*I15)+$G$16</f>
        <v>13.2</v>
      </c>
      <c r="J16" s="102"/>
    </row>
    <row r="17" spans="3:10" ht="15">
      <c r="C17" s="98"/>
      <c r="D17" s="103" t="s">
        <v>43</v>
      </c>
      <c r="E17" s="169">
        <v>6.0299999999999999E-2</v>
      </c>
      <c r="F17" s="169">
        <v>6.0499999999999998E-2</v>
      </c>
      <c r="G17" s="168">
        <f>+G12</f>
        <v>6.0699999999999997E-2</v>
      </c>
      <c r="H17" s="169">
        <v>6.0900000000000003E-2</v>
      </c>
      <c r="I17" s="169">
        <v>6.1100000000000002E-2</v>
      </c>
      <c r="J17" s="102"/>
    </row>
    <row r="18" spans="3:10" ht="15">
      <c r="C18" s="98"/>
      <c r="D18" s="116"/>
      <c r="E18" s="117"/>
      <c r="F18" s="102"/>
      <c r="G18" s="102"/>
      <c r="H18" s="102"/>
      <c r="I18" s="102"/>
      <c r="J18" s="102"/>
    </row>
    <row r="21" spans="3:10" ht="15">
      <c r="D21" s="118"/>
      <c r="E21" s="119">
        <v>-0.2</v>
      </c>
      <c r="F21" s="119">
        <v>-0.1</v>
      </c>
      <c r="G21" s="119">
        <v>0</v>
      </c>
      <c r="H21" s="119">
        <v>0.1</v>
      </c>
      <c r="I21" s="119">
        <v>0.2</v>
      </c>
    </row>
    <row r="22" spans="3:10" ht="15">
      <c r="D22" s="118" t="s">
        <v>177</v>
      </c>
      <c r="E22" s="181">
        <f>+E7</f>
        <v>5.2499999999999998E-2</v>
      </c>
      <c r="F22" s="181">
        <f>+F7</f>
        <v>5.6899999999999999E-2</v>
      </c>
      <c r="G22" s="181">
        <f>+G7</f>
        <v>6.0699999999999997E-2</v>
      </c>
      <c r="H22" s="181">
        <f>+H7</f>
        <v>6.3799999999999996E-2</v>
      </c>
      <c r="I22" s="181">
        <f>+I7</f>
        <v>6.6799999999999998E-2</v>
      </c>
      <c r="J22" s="97" t="s">
        <v>48</v>
      </c>
    </row>
    <row r="23" spans="3:10" ht="15">
      <c r="D23" s="118" t="s">
        <v>49</v>
      </c>
      <c r="E23" s="181">
        <f>+E12</f>
        <v>2.9499999999999998E-2</v>
      </c>
      <c r="F23" s="181">
        <f>+F12</f>
        <v>4.5900000000000003E-2</v>
      </c>
      <c r="G23" s="181">
        <f>+G12</f>
        <v>6.0699999999999997E-2</v>
      </c>
      <c r="H23" s="181">
        <f>+H12</f>
        <v>7.2800000000000004E-2</v>
      </c>
      <c r="I23" s="181">
        <f>+I12</f>
        <v>8.4500000000000006E-2</v>
      </c>
      <c r="J23" s="97" t="s">
        <v>50</v>
      </c>
    </row>
    <row r="24" spans="3:10" ht="15">
      <c r="D24" s="118" t="s">
        <v>51</v>
      </c>
      <c r="E24" s="181">
        <f>+E17</f>
        <v>6.0299999999999999E-2</v>
      </c>
      <c r="F24" s="181">
        <f>+F17</f>
        <v>6.0499999999999998E-2</v>
      </c>
      <c r="G24" s="181">
        <f>+G17</f>
        <v>6.0699999999999997E-2</v>
      </c>
      <c r="H24" s="181">
        <f>+H17</f>
        <v>6.0900000000000003E-2</v>
      </c>
      <c r="I24" s="181">
        <f>+I17</f>
        <v>6.1100000000000002E-2</v>
      </c>
      <c r="J24" s="97" t="s">
        <v>52</v>
      </c>
    </row>
    <row r="25" spans="3:10" ht="15">
      <c r="D25" s="120" t="s">
        <v>53</v>
      </c>
      <c r="E25" s="182">
        <v>7.7700000000000005E-2</v>
      </c>
      <c r="F25" s="182">
        <v>7.7700000000000005E-2</v>
      </c>
      <c r="G25" s="182">
        <v>7.7700000000000005E-2</v>
      </c>
      <c r="H25" s="182">
        <v>7.7700000000000005E-2</v>
      </c>
      <c r="I25" s="182">
        <v>7.7700000000000005E-2</v>
      </c>
      <c r="J25" s="97" t="s">
        <v>54</v>
      </c>
    </row>
  </sheetData>
  <phoneticPr fontId="36" type="noConversion"/>
  <pageMargins left="0.75" right="0.75" top="1" bottom="1" header="0.5" footer="0.5"/>
  <pageSetup paperSize="9" orientation="portrait" verticalDpi="0" r:id="rId1"/>
  <headerFooter alignWithMargins="0"/>
  <drawing r:id="rId2"/>
</worksheet>
</file>

<file path=xl/worksheets/sheet4.xml><?xml version="1.0" encoding="utf-8"?>
<worksheet xmlns="http://schemas.openxmlformats.org/spreadsheetml/2006/main" xmlns:r="http://schemas.openxmlformats.org/officeDocument/2006/relationships">
  <sheetPr codeName="Sheet3">
    <tabColor theme="5" tint="-0.249977111117893"/>
  </sheetPr>
  <dimension ref="A1:AB55"/>
  <sheetViews>
    <sheetView zoomScale="75" zoomScaleNormal="75" workbookViewId="0">
      <pane xSplit="2" ySplit="2" topLeftCell="C21" activePane="bottomRight" state="frozen"/>
      <selection pane="topRight" activeCell="C1" sqref="C1"/>
      <selection pane="bottomLeft" activeCell="A3" sqref="A3"/>
      <selection pane="bottomRight" activeCell="I37" sqref="I37"/>
    </sheetView>
  </sheetViews>
  <sheetFormatPr defaultRowHeight="15"/>
  <cols>
    <col min="1" max="1" width="24.28515625" style="1" bestFit="1" customWidth="1"/>
    <col min="2" max="2" width="9.140625" style="1"/>
    <col min="3" max="3" width="13.28515625" style="1" bestFit="1" customWidth="1"/>
    <col min="4" max="4" width="9.28515625" style="1" bestFit="1" customWidth="1"/>
    <col min="5" max="5" width="12.85546875" style="58" bestFit="1" customWidth="1"/>
    <col min="6" max="8" width="9.140625" style="58"/>
    <col min="9" max="16" width="9.140625" style="1"/>
    <col min="17" max="17" width="9.85546875" style="1" bestFit="1" customWidth="1"/>
    <col min="18" max="16384" width="9.140625" style="1"/>
  </cols>
  <sheetData>
    <row r="1" spans="1:28" ht="15.75" thickBot="1"/>
    <row r="2" spans="1:28" s="11" customFormat="1">
      <c r="A2" s="23" t="s">
        <v>68</v>
      </c>
      <c r="B2" s="23"/>
      <c r="C2" s="23">
        <v>2010</v>
      </c>
      <c r="D2" s="23">
        <v>2011</v>
      </c>
      <c r="E2" s="59" t="s">
        <v>14</v>
      </c>
      <c r="F2" s="59" t="s">
        <v>15</v>
      </c>
      <c r="G2" s="59" t="s">
        <v>16</v>
      </c>
      <c r="H2" s="59" t="s">
        <v>17</v>
      </c>
      <c r="I2" s="23">
        <v>2012</v>
      </c>
      <c r="J2" s="23">
        <v>2013</v>
      </c>
      <c r="K2" s="23">
        <v>2014</v>
      </c>
      <c r="L2" s="23">
        <v>2015</v>
      </c>
      <c r="M2" s="23">
        <v>2016</v>
      </c>
      <c r="N2" s="23">
        <v>2017</v>
      </c>
      <c r="O2" s="23">
        <v>2018</v>
      </c>
      <c r="P2" s="23">
        <v>2019</v>
      </c>
      <c r="Q2" s="23">
        <v>2020</v>
      </c>
      <c r="R2" s="23">
        <v>2021</v>
      </c>
      <c r="S2" s="23">
        <v>2022</v>
      </c>
      <c r="T2" s="23">
        <v>2023</v>
      </c>
      <c r="U2" s="23">
        <v>2024</v>
      </c>
      <c r="V2" s="23">
        <v>2025</v>
      </c>
      <c r="W2" s="23">
        <v>2026</v>
      </c>
      <c r="X2" s="23">
        <v>2027</v>
      </c>
      <c r="Y2" s="23">
        <v>2028</v>
      </c>
      <c r="Z2" s="23">
        <v>2029</v>
      </c>
      <c r="AA2" s="23">
        <v>2030</v>
      </c>
      <c r="AB2" s="23">
        <v>2031</v>
      </c>
    </row>
    <row r="3" spans="1:28" s="11" customFormat="1">
      <c r="A3" s="41"/>
      <c r="B3" s="41"/>
      <c r="C3" s="41"/>
      <c r="D3" s="41"/>
      <c r="E3" s="60"/>
      <c r="F3" s="60"/>
      <c r="G3" s="60"/>
      <c r="H3" s="60"/>
      <c r="I3" s="41"/>
      <c r="J3" s="41"/>
      <c r="K3" s="41"/>
      <c r="L3" s="41"/>
      <c r="M3" s="41"/>
      <c r="N3" s="41"/>
      <c r="O3" s="41"/>
      <c r="P3" s="41"/>
      <c r="Q3" s="41"/>
      <c r="R3" s="41"/>
      <c r="S3" s="41"/>
      <c r="T3" s="41"/>
      <c r="U3" s="41"/>
      <c r="V3" s="41"/>
      <c r="W3" s="41"/>
      <c r="X3" s="41"/>
      <c r="Y3" s="41"/>
      <c r="Z3" s="41"/>
      <c r="AA3" s="41"/>
      <c r="AB3" s="41"/>
    </row>
    <row r="4" spans="1:28" s="11" customFormat="1">
      <c r="A4" s="25" t="s">
        <v>111</v>
      </c>
      <c r="B4" s="25"/>
      <c r="C4" s="25"/>
      <c r="D4" s="25"/>
      <c r="E4" s="61"/>
      <c r="F4" s="61"/>
      <c r="G4" s="61"/>
      <c r="H4" s="61"/>
      <c r="I4" s="25"/>
      <c r="J4" s="25"/>
      <c r="K4" s="25"/>
      <c r="L4" s="25"/>
      <c r="M4" s="25"/>
      <c r="N4" s="25"/>
      <c r="O4" s="25"/>
      <c r="P4" s="25"/>
      <c r="Q4" s="25"/>
      <c r="R4" s="25"/>
      <c r="S4" s="25"/>
      <c r="T4" s="25"/>
      <c r="U4" s="25"/>
      <c r="V4" s="25"/>
      <c r="W4" s="25"/>
      <c r="X4" s="25"/>
      <c r="Y4" s="25"/>
      <c r="Z4" s="25"/>
      <c r="AA4" s="25"/>
      <c r="AB4" s="25"/>
    </row>
    <row r="5" spans="1:28">
      <c r="A5" s="26" t="s">
        <v>112</v>
      </c>
      <c r="B5" s="24"/>
      <c r="C5" s="26">
        <f>9680+197.57693+1.91417+382.98453</f>
        <v>10262.475629999999</v>
      </c>
      <c r="D5" s="26">
        <f t="shared" ref="D5:AB5" si="0">+C7</f>
        <v>7183.7282999999989</v>
      </c>
      <c r="E5" s="62">
        <f>+D5</f>
        <v>7183.7282999999989</v>
      </c>
      <c r="F5" s="62">
        <f>+E5+E6</f>
        <v>5402.5433397042707</v>
      </c>
      <c r="G5" s="62">
        <f>+F5+F6</f>
        <v>5311.9429115902767</v>
      </c>
      <c r="H5" s="62">
        <f>+G5+G6</f>
        <v>5220.4361416690535</v>
      </c>
      <c r="I5" s="26">
        <f>+H7</f>
        <v>5128.0142997598787</v>
      </c>
      <c r="J5" s="26">
        <f t="shared" ref="J5:Q5" si="1">+I7</f>
        <v>4748.9989699554299</v>
      </c>
      <c r="K5" s="26">
        <f t="shared" si="1"/>
        <v>4354.6208647530184</v>
      </c>
      <c r="L5" s="26">
        <f t="shared" si="1"/>
        <v>3944.2802551506052</v>
      </c>
      <c r="M5" s="26">
        <f t="shared" si="1"/>
        <v>3517.3467518423563</v>
      </c>
      <c r="N5" s="26">
        <f t="shared" si="1"/>
        <v>3073.1701595698787</v>
      </c>
      <c r="O5" s="26">
        <f t="shared" si="1"/>
        <v>2611.0710872974005</v>
      </c>
      <c r="P5" s="26">
        <f t="shared" si="1"/>
        <v>2130.3451700249211</v>
      </c>
      <c r="Q5" s="26">
        <f t="shared" si="1"/>
        <v>1630.3075157524381</v>
      </c>
      <c r="R5" s="26">
        <f t="shared" si="0"/>
        <v>-4.6616992349299835E-3</v>
      </c>
      <c r="S5" s="26">
        <f t="shared" si="0"/>
        <v>-4.6616992349299835E-3</v>
      </c>
      <c r="T5" s="26">
        <f t="shared" si="0"/>
        <v>-4.6616992349299835E-3</v>
      </c>
      <c r="U5" s="26">
        <f t="shared" si="0"/>
        <v>-4.6616992349299835E-3</v>
      </c>
      <c r="V5" s="26">
        <f t="shared" si="0"/>
        <v>-4.6616992349299835E-3</v>
      </c>
      <c r="W5" s="26">
        <f t="shared" si="0"/>
        <v>-4.6616992349299835E-3</v>
      </c>
      <c r="X5" s="26">
        <f t="shared" si="0"/>
        <v>-4.6616992349299835E-3</v>
      </c>
      <c r="Y5" s="26">
        <f t="shared" si="0"/>
        <v>-4.6616992349299835E-3</v>
      </c>
      <c r="Z5" s="26">
        <f t="shared" si="0"/>
        <v>-4.6616992349299835E-3</v>
      </c>
      <c r="AA5" s="26">
        <f t="shared" si="0"/>
        <v>-4.6616992349299835E-3</v>
      </c>
      <c r="AB5" s="26">
        <f t="shared" si="0"/>
        <v>-4.6616992349299835E-3</v>
      </c>
    </row>
    <row r="6" spans="1:28">
      <c r="A6" s="26" t="s">
        <v>113</v>
      </c>
      <c r="B6" s="24"/>
      <c r="C6" s="26">
        <f>-1452*2-29.63654*2-0.57425-114.9</f>
        <v>-3078.7473300000001</v>
      </c>
      <c r="D6" s="26">
        <f>SUM(E6:H6)</f>
        <v>-2055.7140002401215</v>
      </c>
      <c r="E6" s="62">
        <f>-SUM(Liz.grafikas!$W$3:$W$5)</f>
        <v>-1781.1849602957284</v>
      </c>
      <c r="F6" s="86">
        <f>-SUM(Liz.grafikas!$W$6:$W$8)</f>
        <v>-90.60042811399444</v>
      </c>
      <c r="G6" s="86">
        <f>-SUM(Liz.grafikas!$W$9:$W$11)</f>
        <v>-91.506769921223366</v>
      </c>
      <c r="H6" s="86">
        <f>-SUM(Liz.grafikas!$W$12:$W$14)</f>
        <v>-92.421841909175157</v>
      </c>
      <c r="I6" s="87">
        <f>-SUM(Liz.grafikas!$W$15:$W$26)</f>
        <v>-379.0153298044487</v>
      </c>
      <c r="J6" s="87">
        <f>-SUM(Liz.grafikas!$W$27:$W$38)</f>
        <v>-394.37810520241135</v>
      </c>
      <c r="K6" s="87">
        <f>-SUM(Liz.grafikas!$W$39:$W$50)</f>
        <v>-410.34060960241317</v>
      </c>
      <c r="L6" s="87">
        <f>-SUM(Liz.grafikas!$W$51:$W$62)</f>
        <v>-426.93350330824876</v>
      </c>
      <c r="M6" s="87">
        <f>-SUM(Liz.grafikas!$W$63:$W$74)</f>
        <v>-444.17659227247759</v>
      </c>
      <c r="N6" s="87">
        <f>-SUM(Liz.grafikas!$W$75:$W$86)</f>
        <v>-462.0990722724784</v>
      </c>
      <c r="O6" s="87">
        <f>-SUM(Liz.grafikas!$W$87:$W$98)</f>
        <v>-480.72591727247948</v>
      </c>
      <c r="P6" s="87">
        <f>-SUM(Liz.grafikas!$W$99:$W$110)</f>
        <v>-500.03765427248305</v>
      </c>
      <c r="Q6" s="87">
        <f>-SUM(Liz.grafikas!$W$111:$W$122)</f>
        <v>-1630.3121774516731</v>
      </c>
      <c r="R6" s="24"/>
      <c r="S6" s="24"/>
      <c r="T6" s="24"/>
      <c r="U6" s="24"/>
      <c r="V6" s="24"/>
      <c r="W6" s="24"/>
      <c r="X6" s="24"/>
      <c r="Y6" s="24"/>
      <c r="Z6" s="24"/>
      <c r="AA6" s="24"/>
      <c r="AB6" s="24"/>
    </row>
    <row r="7" spans="1:28">
      <c r="A7" s="26" t="s">
        <v>114</v>
      </c>
      <c r="B7" s="24"/>
      <c r="C7" s="26">
        <f t="shared" ref="C7:AA7" si="2">SUM(C5:C6)</f>
        <v>7183.7282999999989</v>
      </c>
      <c r="D7" s="26">
        <f>SUM(D5:D6)</f>
        <v>5128.0142997598778</v>
      </c>
      <c r="E7" s="62">
        <f>SUM(E5:E6)</f>
        <v>5402.5433397042707</v>
      </c>
      <c r="F7" s="62">
        <f t="shared" si="2"/>
        <v>5311.9429115902767</v>
      </c>
      <c r="G7" s="62">
        <f t="shared" si="2"/>
        <v>5220.4361416690535</v>
      </c>
      <c r="H7" s="62">
        <f t="shared" si="2"/>
        <v>5128.0142997598787</v>
      </c>
      <c r="I7" s="26">
        <f t="shared" si="2"/>
        <v>4748.9989699554299</v>
      </c>
      <c r="J7" s="26">
        <f t="shared" si="2"/>
        <v>4354.6208647530184</v>
      </c>
      <c r="K7" s="26">
        <f t="shared" si="2"/>
        <v>3944.2802551506052</v>
      </c>
      <c r="L7" s="26">
        <f t="shared" si="2"/>
        <v>3517.3467518423563</v>
      </c>
      <c r="M7" s="26">
        <f t="shared" si="2"/>
        <v>3073.1701595698787</v>
      </c>
      <c r="N7" s="26">
        <f t="shared" si="2"/>
        <v>2611.0710872974005</v>
      </c>
      <c r="O7" s="26">
        <f t="shared" si="2"/>
        <v>2130.3451700249211</v>
      </c>
      <c r="P7" s="26">
        <f t="shared" si="2"/>
        <v>1630.3075157524381</v>
      </c>
      <c r="Q7" s="26">
        <f t="shared" si="2"/>
        <v>-4.6616992349299835E-3</v>
      </c>
      <c r="R7" s="26">
        <f>SUM(R5:R6)</f>
        <v>-4.6616992349299835E-3</v>
      </c>
      <c r="S7" s="26">
        <f t="shared" si="2"/>
        <v>-4.6616992349299835E-3</v>
      </c>
      <c r="T7" s="26">
        <f t="shared" si="2"/>
        <v>-4.6616992349299835E-3</v>
      </c>
      <c r="U7" s="26">
        <f t="shared" si="2"/>
        <v>-4.6616992349299835E-3</v>
      </c>
      <c r="V7" s="26">
        <f t="shared" si="2"/>
        <v>-4.6616992349299835E-3</v>
      </c>
      <c r="W7" s="26">
        <f t="shared" si="2"/>
        <v>-4.6616992349299835E-3</v>
      </c>
      <c r="X7" s="26">
        <f t="shared" si="2"/>
        <v>-4.6616992349299835E-3</v>
      </c>
      <c r="Y7" s="26">
        <f t="shared" si="2"/>
        <v>-4.6616992349299835E-3</v>
      </c>
      <c r="Z7" s="26">
        <f t="shared" si="2"/>
        <v>-4.6616992349299835E-3</v>
      </c>
      <c r="AA7" s="26">
        <f t="shared" si="2"/>
        <v>-4.6616992349299835E-3</v>
      </c>
      <c r="AB7" s="26">
        <f>SUM(AB5:AB6)</f>
        <v>-4.6616992349299835E-3</v>
      </c>
    </row>
    <row r="8" spans="1:28">
      <c r="A8" s="24"/>
      <c r="B8" s="24"/>
      <c r="C8" s="24"/>
      <c r="D8" s="26"/>
      <c r="E8" s="62"/>
      <c r="F8" s="63"/>
      <c r="G8" s="63"/>
      <c r="H8" s="63"/>
      <c r="I8" s="24"/>
      <c r="J8" s="24"/>
      <c r="K8" s="24"/>
      <c r="L8" s="24"/>
      <c r="M8" s="24"/>
      <c r="N8" s="24"/>
      <c r="O8" s="24"/>
      <c r="P8" s="24"/>
      <c r="Q8" s="24"/>
      <c r="R8" s="24"/>
      <c r="S8" s="24"/>
      <c r="T8" s="24"/>
      <c r="U8" s="24"/>
      <c r="V8" s="24"/>
      <c r="W8" s="24"/>
      <c r="X8" s="24"/>
      <c r="Y8" s="24"/>
      <c r="Z8" s="24"/>
      <c r="AA8" s="24"/>
      <c r="AB8" s="24"/>
    </row>
    <row r="9" spans="1:28">
      <c r="A9" s="26" t="s">
        <v>115</v>
      </c>
      <c r="B9" s="24"/>
      <c r="C9" s="26"/>
      <c r="D9" s="26">
        <f>SUM(E9:H9)</f>
        <v>-229.64397952216547</v>
      </c>
      <c r="E9" s="62">
        <f>-SUM(Liz.grafikas!$X$3:$X$5)</f>
        <v>-71.639769466558434</v>
      </c>
      <c r="F9" s="86">
        <f>-SUM(Liz.grafikas!$X$6:$X$8)</f>
        <v>-53.577321886005549</v>
      </c>
      <c r="G9" s="86">
        <f>-SUM(Liz.grafikas!$X$9:$X$11)</f>
        <v>-52.67098007877663</v>
      </c>
      <c r="H9" s="86">
        <f>-SUM(Liz.grafikas!$X$12:$X$14)</f>
        <v>-51.755908090824832</v>
      </c>
      <c r="I9" s="87">
        <f>-SUM(Liz.grafikas!$X$15:$X$26)</f>
        <v>-197.69567019555123</v>
      </c>
      <c r="J9" s="87">
        <f>-SUM(Liz.grafikas!$X$27:$X$38)</f>
        <v>-182.33289479758861</v>
      </c>
      <c r="K9" s="87">
        <f>-SUM(Liz.grafikas!$X$39:$X$50)</f>
        <v>-166.37039039758682</v>
      </c>
      <c r="L9" s="87">
        <f>-SUM(Liz.grafikas!$X$51:$X$62)</f>
        <v>-149.77749669175125</v>
      </c>
      <c r="M9" s="87">
        <f>-SUM(Liz.grafikas!$X$63:$X$74)</f>
        <v>-132.53440772752242</v>
      </c>
      <c r="N9" s="87">
        <f>-SUM(Liz.grafikas!$X$75:$X$86)</f>
        <v>-114.61192772752162</v>
      </c>
      <c r="O9" s="87">
        <f>-SUM(Liz.grafikas!$X$87:$X$98)</f>
        <v>-95.985082727520407</v>
      </c>
      <c r="P9" s="87">
        <f>-SUM(Liz.grafikas!$X$99:$X$110)</f>
        <v>-76.673345727516889</v>
      </c>
      <c r="Q9" s="87">
        <f>-SUM(Liz.grafikas!$X$111:$X$122)</f>
        <v>-56.360310494190813</v>
      </c>
      <c r="R9" s="26">
        <f>-R5*SUM('Initial data'!$C$22:$C$23)</f>
        <v>1.8595518248135706E-4</v>
      </c>
      <c r="S9" s="26">
        <f>-S5*SUM('Initial data'!$C$22:$C$23)</f>
        <v>1.8595518248135706E-4</v>
      </c>
      <c r="T9" s="26">
        <f>-T5*SUM('Initial data'!$C$22:$C$23)</f>
        <v>1.8595518248135706E-4</v>
      </c>
      <c r="U9" s="26">
        <f>-U5*SUM('Initial data'!$C$22:$C$23)</f>
        <v>1.8595518248135706E-4</v>
      </c>
      <c r="V9" s="26">
        <f>-V5*SUM('Initial data'!$C$22:$C$23)</f>
        <v>1.8595518248135706E-4</v>
      </c>
      <c r="W9" s="26">
        <f>-W5*SUM('Initial data'!$C$22:$C$23)</f>
        <v>1.8595518248135706E-4</v>
      </c>
      <c r="X9" s="26">
        <f>-X5*SUM('Initial data'!$C$22:$C$23)</f>
        <v>1.8595518248135706E-4</v>
      </c>
      <c r="Y9" s="26">
        <f>-Y5*SUM('Initial data'!$C$22:$C$23)</f>
        <v>1.8595518248135706E-4</v>
      </c>
      <c r="Z9" s="26">
        <f>-Z5*SUM('Initial data'!$C$22:$C$23)</f>
        <v>1.8595518248135706E-4</v>
      </c>
      <c r="AA9" s="26">
        <f>-AA5*SUM('Initial data'!$C$22:$C$23)</f>
        <v>1.8595518248135706E-4</v>
      </c>
      <c r="AB9" s="26">
        <f>-AB5*SUM('Initial data'!$C$22:$C$23)</f>
        <v>1.8595518248135706E-4</v>
      </c>
    </row>
    <row r="10" spans="1:28">
      <c r="A10" s="26"/>
      <c r="B10" s="24"/>
      <c r="C10" s="26"/>
      <c r="D10" s="24"/>
      <c r="E10" s="63"/>
      <c r="F10" s="63"/>
      <c r="G10" s="63"/>
      <c r="H10" s="63"/>
      <c r="I10" s="24"/>
      <c r="J10" s="24"/>
      <c r="K10" s="24"/>
      <c r="L10" s="24"/>
      <c r="M10" s="24"/>
      <c r="N10" s="24"/>
      <c r="O10" s="24"/>
      <c r="P10" s="24"/>
      <c r="Q10" s="24"/>
      <c r="R10" s="24"/>
      <c r="S10" s="24"/>
      <c r="T10" s="24"/>
      <c r="U10" s="24"/>
      <c r="V10" s="24"/>
      <c r="W10" s="24"/>
      <c r="X10" s="24"/>
      <c r="Y10" s="24"/>
      <c r="Z10" s="24"/>
      <c r="AA10" s="24"/>
      <c r="AB10" s="24"/>
    </row>
    <row r="11" spans="1:28" s="11" customFormat="1">
      <c r="A11" s="25" t="s">
        <v>96</v>
      </c>
      <c r="B11" s="25"/>
      <c r="C11" s="25"/>
      <c r="D11" s="25"/>
      <c r="E11" s="61"/>
      <c r="F11" s="61"/>
      <c r="G11" s="61"/>
      <c r="H11" s="61"/>
      <c r="I11" s="25"/>
      <c r="J11" s="25"/>
      <c r="K11" s="25"/>
      <c r="L11" s="25"/>
      <c r="M11" s="25"/>
      <c r="N11" s="25"/>
      <c r="O11" s="25"/>
      <c r="P11" s="25"/>
      <c r="Q11" s="25"/>
      <c r="R11" s="25"/>
      <c r="S11" s="25"/>
      <c r="T11" s="25"/>
      <c r="U11" s="25"/>
      <c r="V11" s="25"/>
      <c r="W11" s="25"/>
      <c r="X11" s="25"/>
      <c r="Y11" s="25"/>
      <c r="Z11" s="25"/>
      <c r="AA11" s="25"/>
      <c r="AB11" s="25"/>
    </row>
    <row r="12" spans="1:28">
      <c r="A12" s="26" t="s">
        <v>112</v>
      </c>
      <c r="B12" s="26"/>
      <c r="C12" s="26">
        <f>+'Initial data'!C57</f>
        <v>2319.5069508804399</v>
      </c>
      <c r="D12" s="26">
        <f t="shared" ref="D12:AB12" si="3">+C15</f>
        <v>2319.5069508804399</v>
      </c>
      <c r="E12" s="62">
        <f>+D15</f>
        <v>2319.5069508804399</v>
      </c>
      <c r="F12" s="62">
        <f>+E15</f>
        <v>2319.5069508804399</v>
      </c>
      <c r="G12" s="62">
        <f>+F15</f>
        <v>2319.5069508804399</v>
      </c>
      <c r="H12" s="62">
        <f>+G15</f>
        <v>2319.5069508804399</v>
      </c>
      <c r="I12" s="26">
        <f>+H15</f>
        <v>2319.5069508804399</v>
      </c>
      <c r="J12" s="26">
        <f t="shared" si="3"/>
        <v>1845.2326947292886</v>
      </c>
      <c r="K12" s="26">
        <f t="shared" si="3"/>
        <v>1441.0342355185799</v>
      </c>
      <c r="L12" s="26">
        <f t="shared" si="3"/>
        <v>1017.4674969981235</v>
      </c>
      <c r="M12" s="26">
        <f t="shared" si="3"/>
        <v>573.58089807544775</v>
      </c>
      <c r="N12" s="26">
        <f t="shared" si="3"/>
        <v>176.5975232609178</v>
      </c>
      <c r="O12" s="26">
        <f t="shared" si="3"/>
        <v>0</v>
      </c>
      <c r="P12" s="26">
        <f t="shared" si="3"/>
        <v>0</v>
      </c>
      <c r="Q12" s="26">
        <f t="shared" si="3"/>
        <v>0</v>
      </c>
      <c r="R12" s="26">
        <f t="shared" si="3"/>
        <v>0</v>
      </c>
      <c r="S12" s="26">
        <f t="shared" si="3"/>
        <v>0</v>
      </c>
      <c r="T12" s="26">
        <f t="shared" si="3"/>
        <v>0</v>
      </c>
      <c r="U12" s="26">
        <f t="shared" si="3"/>
        <v>0</v>
      </c>
      <c r="V12" s="26">
        <f t="shared" si="3"/>
        <v>0</v>
      </c>
      <c r="W12" s="26">
        <f t="shared" si="3"/>
        <v>0</v>
      </c>
      <c r="X12" s="26">
        <f t="shared" si="3"/>
        <v>0</v>
      </c>
      <c r="Y12" s="26">
        <f t="shared" si="3"/>
        <v>0</v>
      </c>
      <c r="Z12" s="26">
        <f t="shared" si="3"/>
        <v>0</v>
      </c>
      <c r="AA12" s="26">
        <f t="shared" si="3"/>
        <v>0</v>
      </c>
      <c r="AB12" s="26">
        <f t="shared" si="3"/>
        <v>0</v>
      </c>
    </row>
    <row r="13" spans="1:28">
      <c r="A13" s="26" t="s">
        <v>113</v>
      </c>
      <c r="B13" s="26"/>
      <c r="C13" s="26"/>
      <c r="D13" s="26"/>
      <c r="E13" s="62"/>
      <c r="F13" s="62"/>
      <c r="G13" s="62"/>
      <c r="H13" s="62"/>
      <c r="I13" s="26">
        <f>IF(I12-SUM(Model!I19,I6,I9,-I12*SUM('Initial data'!$C$58))&gt;0,-SUM(Model!I19,I6,I9,-I12*SUM('Initial data'!$C$58)),-I12)</f>
        <v>-474.27425615115129</v>
      </c>
      <c r="J13" s="26">
        <f>IF(J12-SUM(Model!J19,J6,J9,-J12*SUM('Initial data'!$C$58))&gt;0,-SUM(Model!J19,J6,J9,-J12*SUM('Initial data'!$C$58)),-J12)</f>
        <v>-404.19845921070879</v>
      </c>
      <c r="K13" s="26">
        <f>IF(K12-SUM(Model!K19,K6,K9,-K12*SUM('Initial data'!$C$58))&gt;0,-SUM(Model!K19,K6,K9,-K12*SUM('Initial data'!$C$58)),-K12)</f>
        <v>-423.5667385204564</v>
      </c>
      <c r="L13" s="26">
        <f>IF(L12-SUM(Model!L19,L6,L9,-L12*SUM('Initial data'!$C$58))&gt;0,-SUM(Model!L19,L6,L9,-L12*SUM('Initial data'!$C$58)),-L12)</f>
        <v>-443.88659892267566</v>
      </c>
      <c r="M13" s="26">
        <f>IF(M12-SUM(Model!M19,M6,M9,-M12*SUM('Initial data'!$C$58))&gt;0,-SUM(Model!M19,M6,M9,-M12*SUM('Initial data'!$C$58)),-M12)</f>
        <v>-396.98337481452995</v>
      </c>
      <c r="N13" s="26">
        <f>IF(N12-SUM(Model!N19,N6,N9,-N12*SUM('Initial data'!$C$58))&gt;0,-SUM(Model!N19,N6,N9,-N12*SUM('Initial data'!$C$58)),-N12)</f>
        <v>-176.5975232609178</v>
      </c>
      <c r="O13" s="26">
        <f>IF(O12-SUM(Model!O19,O6,O9,-O12*SUM('Initial data'!$C$58))&gt;0,-SUM(Model!O19,O6,O9,-O12*SUM('Initial data'!$C$58)),-O12)</f>
        <v>0</v>
      </c>
      <c r="P13" s="26">
        <f>IF(P12-SUM(Model!P19,P6,P9,-P12*SUM('Initial data'!$C$58))&gt;0,-SUM(Model!P19,P6,P9,-P12*SUM('Initial data'!$C$58)),-P12)</f>
        <v>0</v>
      </c>
      <c r="Q13" s="26">
        <f>IF(Q12-SUM(Model!Q19,Q6,Q9,-Q12*SUM('Initial data'!$C$58))&gt;0,-SUM(Model!Q19,Q6,Q9,-Q12*SUM('Initial data'!$C$58)),-Q12)*0</f>
        <v>0</v>
      </c>
      <c r="R13" s="26">
        <f>IF(R12-SUM(Model!R19,R6,R9,-R12*SUM('Initial data'!$C$58))&gt;0,-SUM(Model!R19,R6,R9,-R12*SUM('Initial data'!$C$58)),-R12)</f>
        <v>0</v>
      </c>
      <c r="S13" s="26">
        <f>IF(S12-SUM(Model!S19,S6,S9,-S12*SUM('Initial data'!$C$22:$C$23))&gt;0,-SUM(Model!S19,S6,S9,-S12*SUM('Initial data'!$C$22:$C$23)),-S12)</f>
        <v>0</v>
      </c>
      <c r="T13" s="26">
        <f>IF(T12-SUM(Model!T19,T6,T9,-T12*SUM('Initial data'!$C$22:$C$23))&gt;0,-SUM(Model!T19,T6,T9,-T12*SUM('Initial data'!$C$22:$C$23)),-T12)</f>
        <v>0</v>
      </c>
      <c r="U13" s="26">
        <f>IF(U12-SUM(Model!U19,U6,U9,-U12*SUM('Initial data'!$C$22:$C$23))&gt;0,-SUM(Model!U19,U6,U9,-U12*SUM('Initial data'!$C$22:$C$23)),-U12)</f>
        <v>0</v>
      </c>
      <c r="V13" s="26">
        <f>IF(V12-SUM(Model!V19,V6,V9,-V12*SUM('Initial data'!$C$22:$C$23))&gt;0,-SUM(Model!V19,V6,V9,-V12*SUM('Initial data'!$C$22:$C$23)),-V12)</f>
        <v>0</v>
      </c>
      <c r="W13" s="26">
        <f>IF(W12-SUM(Model!W19,W6,W9,-W12*SUM('Initial data'!$C$22:$C$23))&gt;0,-SUM(Model!W19,W6,W9,-W12*SUM('Initial data'!$C$22:$C$23)),-W12)</f>
        <v>0</v>
      </c>
      <c r="X13" s="26">
        <f>IF(X12-SUM(Model!X19,X6,X9,-X12*SUM('Initial data'!$C$22:$C$23))&gt;0,-SUM(Model!X19,X6,X9,-X12*SUM('Initial data'!$C$22:$C$23)),-X12)</f>
        <v>0</v>
      </c>
      <c r="Y13" s="26">
        <f>IF(Y12-SUM(Model!Y19,Y6,Y9,-Y12*SUM('Initial data'!$C$22:$C$23))&gt;0,-SUM(Model!Y19,Y6,Y9,-Y12*SUM('Initial data'!$C$22:$C$23)),-Y12)</f>
        <v>0</v>
      </c>
      <c r="Z13" s="26">
        <f>IF(Z12-SUM(Model!Z19,Z6,Z9,-Z12*SUM('Initial data'!$C$22:$C$23))&gt;0,-SUM(Model!Z19,Z6,Z9,-Z12*SUM('Initial data'!$C$22:$C$23)),-Z12)</f>
        <v>0</v>
      </c>
      <c r="AA13" s="26">
        <f>IF(AA12-SUM(Model!AA19,AA6,AA9,-AA12*SUM('Initial data'!$C$22:$C$23))&gt;0,-SUM(Model!AA19,AA6,AA9,-AA12*SUM('Initial data'!$C$22:$C$23)),-AA12)</f>
        <v>0</v>
      </c>
      <c r="AB13" s="26">
        <f>IF(AB12-SUM(Model!AB19,AB6,AB9,-AB12*SUM('Initial data'!$C$22:$C$23))&gt;0,-SUM(Model!AB19,AB6,AB9,-AB12*SUM('Initial data'!$C$22:$C$23)),-AB12)</f>
        <v>0</v>
      </c>
    </row>
    <row r="14" spans="1:28">
      <c r="A14" s="24" t="s">
        <v>116</v>
      </c>
      <c r="B14" s="26"/>
      <c r="C14" s="24"/>
      <c r="D14" s="24"/>
      <c r="E14" s="63"/>
      <c r="F14" s="63"/>
      <c r="G14" s="63"/>
      <c r="H14" s="63"/>
      <c r="I14" s="24"/>
      <c r="J14" s="24"/>
      <c r="K14" s="24"/>
      <c r="L14" s="24"/>
      <c r="M14" s="24"/>
      <c r="N14" s="24"/>
      <c r="O14" s="24"/>
      <c r="P14" s="24"/>
      <c r="Q14" s="24"/>
      <c r="R14" s="24"/>
      <c r="S14" s="24"/>
      <c r="T14" s="24"/>
      <c r="U14" s="24"/>
      <c r="V14" s="24"/>
      <c r="W14" s="24"/>
      <c r="X14" s="24"/>
      <c r="Y14" s="24"/>
      <c r="Z14" s="24"/>
      <c r="AA14" s="24"/>
      <c r="AB14" s="24"/>
    </row>
    <row r="15" spans="1:28">
      <c r="A15" s="26" t="s">
        <v>114</v>
      </c>
      <c r="B15" s="26">
        <f t="shared" ref="B15:AA15" si="4">SUM(B12:B14)</f>
        <v>0</v>
      </c>
      <c r="C15" s="26">
        <f t="shared" si="4"/>
        <v>2319.5069508804399</v>
      </c>
      <c r="D15" s="26">
        <f t="shared" si="4"/>
        <v>2319.5069508804399</v>
      </c>
      <c r="E15" s="62">
        <f t="shared" si="4"/>
        <v>2319.5069508804399</v>
      </c>
      <c r="F15" s="62">
        <f t="shared" si="4"/>
        <v>2319.5069508804399</v>
      </c>
      <c r="G15" s="62">
        <f t="shared" si="4"/>
        <v>2319.5069508804399</v>
      </c>
      <c r="H15" s="62">
        <f t="shared" si="4"/>
        <v>2319.5069508804399</v>
      </c>
      <c r="I15" s="26">
        <f t="shared" si="4"/>
        <v>1845.2326947292886</v>
      </c>
      <c r="J15" s="26">
        <f t="shared" si="4"/>
        <v>1441.0342355185799</v>
      </c>
      <c r="K15" s="26">
        <f t="shared" si="4"/>
        <v>1017.4674969981235</v>
      </c>
      <c r="L15" s="26">
        <f t="shared" si="4"/>
        <v>573.58089807544775</v>
      </c>
      <c r="M15" s="26">
        <f t="shared" si="4"/>
        <v>176.5975232609178</v>
      </c>
      <c r="N15" s="26">
        <f t="shared" si="4"/>
        <v>0</v>
      </c>
      <c r="O15" s="26">
        <f t="shared" si="4"/>
        <v>0</v>
      </c>
      <c r="P15" s="26">
        <f t="shared" si="4"/>
        <v>0</v>
      </c>
      <c r="Q15" s="26">
        <f t="shared" si="4"/>
        <v>0</v>
      </c>
      <c r="R15" s="26">
        <f t="shared" si="4"/>
        <v>0</v>
      </c>
      <c r="S15" s="26">
        <f t="shared" si="4"/>
        <v>0</v>
      </c>
      <c r="T15" s="26">
        <f t="shared" si="4"/>
        <v>0</v>
      </c>
      <c r="U15" s="26">
        <f t="shared" si="4"/>
        <v>0</v>
      </c>
      <c r="V15" s="26">
        <f t="shared" si="4"/>
        <v>0</v>
      </c>
      <c r="W15" s="26">
        <f t="shared" si="4"/>
        <v>0</v>
      </c>
      <c r="X15" s="26">
        <f t="shared" si="4"/>
        <v>0</v>
      </c>
      <c r="Y15" s="26">
        <f t="shared" si="4"/>
        <v>0</v>
      </c>
      <c r="Z15" s="26">
        <f t="shared" si="4"/>
        <v>0</v>
      </c>
      <c r="AA15" s="26">
        <f t="shared" si="4"/>
        <v>0</v>
      </c>
      <c r="AB15" s="26">
        <f>SUM(AB12:AB14)</f>
        <v>0</v>
      </c>
    </row>
    <row r="16" spans="1:28">
      <c r="A16" s="24"/>
      <c r="B16" s="24"/>
      <c r="C16" s="24"/>
      <c r="D16" s="24"/>
      <c r="E16" s="63"/>
      <c r="F16" s="63"/>
      <c r="G16" s="63"/>
      <c r="H16" s="63"/>
      <c r="I16" s="24"/>
      <c r="J16" s="24"/>
      <c r="K16" s="24"/>
      <c r="L16" s="24"/>
      <c r="M16" s="24"/>
      <c r="N16" s="24"/>
      <c r="O16" s="24"/>
      <c r="P16" s="24"/>
      <c r="Q16" s="24"/>
      <c r="R16" s="24"/>
      <c r="S16" s="24"/>
      <c r="T16" s="24"/>
      <c r="U16" s="24"/>
      <c r="V16" s="24"/>
      <c r="W16" s="24"/>
      <c r="X16" s="24"/>
      <c r="Y16" s="24"/>
      <c r="Z16" s="24"/>
      <c r="AA16" s="24"/>
      <c r="AB16" s="24"/>
    </row>
    <row r="17" spans="1:28">
      <c r="A17" s="26" t="s">
        <v>115</v>
      </c>
      <c r="B17" s="26"/>
      <c r="C17" s="26"/>
      <c r="D17" s="26">
        <f>SUM(E17:H17)</f>
        <v>-115.975347544022</v>
      </c>
      <c r="E17" s="62">
        <f>-E12*SUM(0.05)/360*90</f>
        <v>-28.9938368860055</v>
      </c>
      <c r="F17" s="62">
        <f>-F12*SUM(0.05)/360*90</f>
        <v>-28.9938368860055</v>
      </c>
      <c r="G17" s="62">
        <f>-G12*SUM(0.05)/360*90</f>
        <v>-28.9938368860055</v>
      </c>
      <c r="H17" s="62">
        <f>-H12*SUM(0.05)/360*90</f>
        <v>-28.9938368860055</v>
      </c>
      <c r="I17" s="26">
        <f>-I12*SUM(0.05)</f>
        <v>-115.975347544022</v>
      </c>
      <c r="J17" s="26">
        <f t="shared" ref="J17:AA17" si="5">-J12*SUM(0.05)</f>
        <v>-92.26163473646443</v>
      </c>
      <c r="K17" s="26">
        <f t="shared" si="5"/>
        <v>-72.051711775928993</v>
      </c>
      <c r="L17" s="26">
        <f t="shared" si="5"/>
        <v>-50.873374849906178</v>
      </c>
      <c r="M17" s="26">
        <f>-M12*SUM(0.05)</f>
        <v>-28.67904490377239</v>
      </c>
      <c r="N17" s="26">
        <f t="shared" si="5"/>
        <v>-8.8298761630458902</v>
      </c>
      <c r="O17" s="26">
        <f t="shared" si="5"/>
        <v>0</v>
      </c>
      <c r="P17" s="26">
        <f t="shared" si="5"/>
        <v>0</v>
      </c>
      <c r="Q17" s="26">
        <f t="shared" si="5"/>
        <v>0</v>
      </c>
      <c r="R17" s="26">
        <f t="shared" si="5"/>
        <v>0</v>
      </c>
      <c r="S17" s="26">
        <f t="shared" si="5"/>
        <v>0</v>
      </c>
      <c r="T17" s="26">
        <f t="shared" si="5"/>
        <v>0</v>
      </c>
      <c r="U17" s="26">
        <f t="shared" si="5"/>
        <v>0</v>
      </c>
      <c r="V17" s="26">
        <f t="shared" si="5"/>
        <v>0</v>
      </c>
      <c r="W17" s="26">
        <f t="shared" si="5"/>
        <v>0</v>
      </c>
      <c r="X17" s="26">
        <f t="shared" si="5"/>
        <v>0</v>
      </c>
      <c r="Y17" s="26">
        <f t="shared" si="5"/>
        <v>0</v>
      </c>
      <c r="Z17" s="26">
        <f t="shared" si="5"/>
        <v>0</v>
      </c>
      <c r="AA17" s="26">
        <f t="shared" si="5"/>
        <v>0</v>
      </c>
      <c r="AB17" s="26">
        <f>-AB12*SUM(0.05)</f>
        <v>0</v>
      </c>
    </row>
    <row r="18" spans="1:28">
      <c r="A18" s="24"/>
      <c r="B18" s="24"/>
      <c r="C18" s="24"/>
      <c r="D18" s="24"/>
      <c r="E18" s="63"/>
      <c r="F18" s="63"/>
      <c r="G18" s="63"/>
      <c r="H18" s="63"/>
      <c r="I18" s="24"/>
      <c r="J18" s="24"/>
      <c r="K18" s="24"/>
      <c r="L18" s="24"/>
      <c r="M18" s="24"/>
      <c r="N18" s="24"/>
      <c r="O18" s="24"/>
      <c r="P18" s="24"/>
      <c r="Q18" s="24"/>
      <c r="R18" s="24"/>
      <c r="S18" s="24"/>
      <c r="T18" s="24"/>
      <c r="U18" s="24"/>
      <c r="V18" s="24"/>
      <c r="W18" s="24"/>
      <c r="X18" s="24"/>
      <c r="Y18" s="24"/>
      <c r="Z18" s="24"/>
      <c r="AA18" s="24"/>
      <c r="AB18" s="24"/>
    </row>
    <row r="19" spans="1:28" s="11" customFormat="1">
      <c r="A19" s="25" t="s">
        <v>117</v>
      </c>
      <c r="B19" s="25"/>
      <c r="C19" s="25"/>
      <c r="D19" s="25"/>
      <c r="E19" s="61"/>
      <c r="F19" s="61"/>
      <c r="G19" s="61"/>
      <c r="H19" s="61"/>
      <c r="I19" s="25"/>
      <c r="J19" s="25"/>
      <c r="K19" s="25"/>
      <c r="L19" s="25"/>
      <c r="M19" s="25"/>
      <c r="N19" s="25"/>
      <c r="O19" s="25"/>
      <c r="P19" s="25"/>
      <c r="Q19" s="25"/>
      <c r="R19" s="25"/>
      <c r="S19" s="25"/>
      <c r="T19" s="25"/>
      <c r="U19" s="25"/>
      <c r="V19" s="25"/>
      <c r="W19" s="25"/>
      <c r="X19" s="25"/>
      <c r="Y19" s="25"/>
      <c r="Z19" s="25"/>
      <c r="AA19" s="25"/>
      <c r="AB19" s="25"/>
    </row>
    <row r="20" spans="1:28">
      <c r="A20" s="24"/>
      <c r="B20" s="24"/>
      <c r="C20" s="24"/>
      <c r="D20" s="24"/>
      <c r="E20" s="63"/>
      <c r="F20" s="63"/>
      <c r="G20" s="63"/>
      <c r="H20" s="63"/>
      <c r="I20" s="24"/>
      <c r="J20" s="24"/>
      <c r="K20" s="24"/>
      <c r="L20" s="24"/>
      <c r="M20" s="24"/>
      <c r="N20" s="24"/>
      <c r="O20" s="24"/>
      <c r="P20" s="24"/>
      <c r="Q20" s="24"/>
      <c r="R20" s="24"/>
      <c r="S20" s="24"/>
      <c r="T20" s="24"/>
      <c r="U20" s="24"/>
      <c r="V20" s="24"/>
      <c r="W20" s="24"/>
      <c r="X20" s="24"/>
      <c r="Y20" s="24"/>
      <c r="Z20" s="24"/>
      <c r="AA20" s="24"/>
      <c r="AB20" s="24"/>
    </row>
    <row r="21" spans="1:28">
      <c r="A21" s="26" t="s">
        <v>118</v>
      </c>
      <c r="B21" s="24"/>
      <c r="C21" s="26">
        <f>+'Initial data'!$C$55</f>
        <v>8511</v>
      </c>
      <c r="D21" s="26">
        <f t="shared" ref="D21:P21" si="6">+C21</f>
        <v>8511</v>
      </c>
      <c r="E21" s="62">
        <f t="shared" si="6"/>
        <v>8511</v>
      </c>
      <c r="F21" s="62">
        <f t="shared" si="6"/>
        <v>8511</v>
      </c>
      <c r="G21" s="62">
        <f t="shared" si="6"/>
        <v>8511</v>
      </c>
      <c r="H21" s="62">
        <f t="shared" si="6"/>
        <v>8511</v>
      </c>
      <c r="I21" s="26">
        <f t="shared" si="6"/>
        <v>8511</v>
      </c>
      <c r="J21" s="26">
        <f t="shared" si="6"/>
        <v>8511</v>
      </c>
      <c r="K21" s="26">
        <f t="shared" si="6"/>
        <v>8511</v>
      </c>
      <c r="L21" s="26">
        <f t="shared" si="6"/>
        <v>8511</v>
      </c>
      <c r="M21" s="26">
        <f t="shared" si="6"/>
        <v>8511</v>
      </c>
      <c r="N21" s="26">
        <f t="shared" si="6"/>
        <v>8511</v>
      </c>
      <c r="O21" s="26">
        <f t="shared" si="6"/>
        <v>8511</v>
      </c>
      <c r="P21" s="26">
        <f t="shared" si="6"/>
        <v>8511</v>
      </c>
      <c r="Q21" s="26"/>
      <c r="R21" s="26"/>
      <c r="S21" s="26"/>
      <c r="T21" s="26"/>
      <c r="U21" s="26"/>
      <c r="V21" s="26"/>
      <c r="W21" s="26"/>
      <c r="X21" s="26"/>
      <c r="Y21" s="26"/>
      <c r="Z21" s="26"/>
      <c r="AA21" s="26"/>
      <c r="AB21" s="26"/>
    </row>
    <row r="22" spans="1:28">
      <c r="A22" s="26" t="s">
        <v>79</v>
      </c>
      <c r="B22" s="24"/>
      <c r="C22" s="26"/>
      <c r="D22" s="26">
        <f>SUM(E22:H22)</f>
        <v>975.21875</v>
      </c>
      <c r="E22" s="62">
        <f>+E21/8/4/3*2</f>
        <v>177.3125</v>
      </c>
      <c r="F22" s="62">
        <f>+F21/8/4</f>
        <v>265.96875</v>
      </c>
      <c r="G22" s="62">
        <f>+G21/8/4</f>
        <v>265.96875</v>
      </c>
      <c r="H22" s="62">
        <f>+H21/8/4</f>
        <v>265.96875</v>
      </c>
      <c r="I22" s="26">
        <f t="shared" ref="I22:O22" si="7">+I21/8</f>
        <v>1063.875</v>
      </c>
      <c r="J22" s="26">
        <f t="shared" si="7"/>
        <v>1063.875</v>
      </c>
      <c r="K22" s="26">
        <f t="shared" si="7"/>
        <v>1063.875</v>
      </c>
      <c r="L22" s="26">
        <f t="shared" si="7"/>
        <v>1063.875</v>
      </c>
      <c r="M22" s="26">
        <f t="shared" si="7"/>
        <v>1063.875</v>
      </c>
      <c r="N22" s="26">
        <f t="shared" si="7"/>
        <v>1063.875</v>
      </c>
      <c r="O22" s="26">
        <f t="shared" si="7"/>
        <v>1063.875</v>
      </c>
      <c r="P22" s="26">
        <f>+O24</f>
        <v>88.65625</v>
      </c>
      <c r="Q22" s="26"/>
      <c r="R22" s="26"/>
      <c r="S22" s="26"/>
      <c r="T22" s="26"/>
      <c r="U22" s="26"/>
      <c r="V22" s="26"/>
      <c r="W22" s="26"/>
      <c r="X22" s="26"/>
      <c r="Y22" s="26"/>
      <c r="Z22" s="26"/>
      <c r="AA22" s="26"/>
      <c r="AB22" s="26"/>
    </row>
    <row r="23" spans="1:28">
      <c r="A23" s="26" t="s">
        <v>119</v>
      </c>
      <c r="B23" s="24"/>
      <c r="C23" s="26"/>
      <c r="D23" s="26">
        <f>+H23</f>
        <v>975.21875</v>
      </c>
      <c r="E23" s="62">
        <f>+SUM($E22:E$22)</f>
        <v>177.3125</v>
      </c>
      <c r="F23" s="62">
        <f>+SUM($E22:F$22)</f>
        <v>443.28125</v>
      </c>
      <c r="G23" s="62">
        <f>+SUM($E22:G$22)</f>
        <v>709.25</v>
      </c>
      <c r="H23" s="62">
        <f>+SUM($E22:H$22)</f>
        <v>975.21875</v>
      </c>
      <c r="I23" s="26">
        <f>+SUM($E22:I$22)</f>
        <v>2039.09375</v>
      </c>
      <c r="J23" s="26">
        <f>+SUM($E22:J$22)</f>
        <v>3102.96875</v>
      </c>
      <c r="K23" s="26">
        <f>+SUM($E22:K$22)</f>
        <v>4166.84375</v>
      </c>
      <c r="L23" s="26">
        <f>+SUM($E22:L$22)</f>
        <v>5230.71875</v>
      </c>
      <c r="M23" s="26">
        <f>+SUM($E22:M$22)</f>
        <v>6294.59375</v>
      </c>
      <c r="N23" s="26">
        <f>+SUM($E22:N$22)</f>
        <v>7358.46875</v>
      </c>
      <c r="O23" s="26">
        <f>+SUM($E22:O$22)</f>
        <v>8422.34375</v>
      </c>
      <c r="P23" s="26">
        <f>+SUM($E22:P$22)</f>
        <v>8511</v>
      </c>
      <c r="Q23" s="26"/>
      <c r="R23" s="26"/>
      <c r="S23" s="26"/>
      <c r="T23" s="26"/>
      <c r="U23" s="26"/>
      <c r="V23" s="26"/>
      <c r="W23" s="26"/>
      <c r="X23" s="26"/>
      <c r="Y23" s="26"/>
      <c r="Z23" s="26"/>
      <c r="AA23" s="26"/>
      <c r="AB23" s="26"/>
    </row>
    <row r="24" spans="1:28" s="14" customFormat="1">
      <c r="A24" s="28" t="s">
        <v>120</v>
      </c>
      <c r="B24" s="27"/>
      <c r="C24" s="28">
        <f>+C21-C22</f>
        <v>8511</v>
      </c>
      <c r="D24" s="28">
        <f t="shared" ref="D24:AB24" si="8">+D21-D23</f>
        <v>7535.78125</v>
      </c>
      <c r="E24" s="64">
        <f t="shared" si="8"/>
        <v>8333.6875</v>
      </c>
      <c r="F24" s="64">
        <f t="shared" si="8"/>
        <v>8067.71875</v>
      </c>
      <c r="G24" s="64">
        <f t="shared" si="8"/>
        <v>7801.75</v>
      </c>
      <c r="H24" s="64">
        <f t="shared" si="8"/>
        <v>7535.78125</v>
      </c>
      <c r="I24" s="28">
        <f t="shared" si="8"/>
        <v>6471.90625</v>
      </c>
      <c r="J24" s="28">
        <f t="shared" si="8"/>
        <v>5408.03125</v>
      </c>
      <c r="K24" s="28">
        <f t="shared" si="8"/>
        <v>4344.15625</v>
      </c>
      <c r="L24" s="28">
        <f t="shared" si="8"/>
        <v>3280.28125</v>
      </c>
      <c r="M24" s="28">
        <f t="shared" si="8"/>
        <v>2216.40625</v>
      </c>
      <c r="N24" s="28">
        <f t="shared" si="8"/>
        <v>1152.53125</v>
      </c>
      <c r="O24" s="28">
        <f t="shared" si="8"/>
        <v>88.65625</v>
      </c>
      <c r="P24" s="28">
        <f t="shared" si="8"/>
        <v>0</v>
      </c>
      <c r="Q24" s="28">
        <f t="shared" si="8"/>
        <v>0</v>
      </c>
      <c r="R24" s="28">
        <f t="shared" si="8"/>
        <v>0</v>
      </c>
      <c r="S24" s="28">
        <f t="shared" si="8"/>
        <v>0</v>
      </c>
      <c r="T24" s="28">
        <f t="shared" si="8"/>
        <v>0</v>
      </c>
      <c r="U24" s="28">
        <f t="shared" si="8"/>
        <v>0</v>
      </c>
      <c r="V24" s="28">
        <f t="shared" si="8"/>
        <v>0</v>
      </c>
      <c r="W24" s="28">
        <f t="shared" si="8"/>
        <v>0</v>
      </c>
      <c r="X24" s="28">
        <f t="shared" si="8"/>
        <v>0</v>
      </c>
      <c r="Y24" s="28">
        <f t="shared" si="8"/>
        <v>0</v>
      </c>
      <c r="Z24" s="28">
        <f t="shared" si="8"/>
        <v>0</v>
      </c>
      <c r="AA24" s="28">
        <f t="shared" si="8"/>
        <v>0</v>
      </c>
      <c r="AB24" s="28">
        <f t="shared" si="8"/>
        <v>0</v>
      </c>
    </row>
    <row r="25" spans="1:28">
      <c r="A25" s="24"/>
      <c r="B25" s="24"/>
      <c r="C25" s="24"/>
      <c r="D25" s="24"/>
      <c r="E25" s="63"/>
      <c r="F25" s="63"/>
      <c r="G25" s="63"/>
      <c r="H25" s="63"/>
      <c r="I25" s="24"/>
      <c r="J25" s="24"/>
      <c r="K25" s="24"/>
      <c r="L25" s="24"/>
      <c r="M25" s="24"/>
      <c r="N25" s="24"/>
      <c r="O25" s="24"/>
      <c r="P25" s="24"/>
      <c r="Q25" s="24"/>
      <c r="R25" s="24"/>
      <c r="S25" s="24"/>
      <c r="T25" s="24"/>
      <c r="U25" s="24"/>
      <c r="V25" s="24"/>
      <c r="W25" s="24"/>
      <c r="X25" s="24"/>
      <c r="Y25" s="24"/>
      <c r="Z25" s="24"/>
      <c r="AA25" s="24"/>
      <c r="AB25" s="24"/>
    </row>
    <row r="26" spans="1:28" s="11" customFormat="1">
      <c r="A26" s="25" t="s">
        <v>121</v>
      </c>
      <c r="B26" s="25"/>
      <c r="C26" s="25"/>
      <c r="D26" s="25"/>
      <c r="E26" s="61"/>
      <c r="F26" s="61"/>
      <c r="G26" s="61"/>
      <c r="H26" s="61"/>
      <c r="I26" s="25"/>
      <c r="J26" s="25"/>
      <c r="K26" s="25"/>
      <c r="L26" s="25"/>
      <c r="M26" s="25"/>
      <c r="N26" s="25"/>
      <c r="O26" s="25"/>
      <c r="P26" s="25"/>
      <c r="Q26" s="25"/>
      <c r="R26" s="25"/>
      <c r="S26" s="25"/>
      <c r="T26" s="25"/>
      <c r="U26" s="25"/>
      <c r="V26" s="25"/>
      <c r="W26" s="25"/>
      <c r="X26" s="25"/>
      <c r="Y26" s="25"/>
      <c r="Z26" s="25"/>
      <c r="AA26" s="25"/>
      <c r="AB26" s="25"/>
    </row>
    <row r="27" spans="1:28">
      <c r="A27" s="24"/>
      <c r="B27" s="24"/>
      <c r="C27" s="24"/>
      <c r="D27" s="24"/>
      <c r="E27" s="63"/>
      <c r="F27" s="63"/>
      <c r="G27" s="63"/>
      <c r="H27" s="63"/>
      <c r="I27" s="24"/>
      <c r="J27" s="24"/>
      <c r="K27" s="24"/>
      <c r="L27" s="24"/>
      <c r="M27" s="24"/>
      <c r="N27" s="24"/>
      <c r="O27" s="24"/>
      <c r="P27" s="24"/>
      <c r="Q27" s="24"/>
      <c r="R27" s="24"/>
      <c r="S27" s="24"/>
      <c r="T27" s="24"/>
      <c r="U27" s="24"/>
      <c r="V27" s="24"/>
      <c r="W27" s="24"/>
      <c r="X27" s="24"/>
      <c r="Y27" s="24"/>
      <c r="Z27" s="24"/>
      <c r="AA27" s="24"/>
      <c r="AB27" s="24"/>
    </row>
    <row r="28" spans="1:28">
      <c r="A28" s="26" t="s">
        <v>118</v>
      </c>
      <c r="B28" s="24"/>
      <c r="C28" s="26">
        <f>+'Initial data'!$C$55</f>
        <v>8511</v>
      </c>
      <c r="D28" s="26">
        <f t="shared" ref="D28:I28" si="9">+C28</f>
        <v>8511</v>
      </c>
      <c r="E28" s="62">
        <f t="shared" si="9"/>
        <v>8511</v>
      </c>
      <c r="F28" s="62">
        <f t="shared" si="9"/>
        <v>8511</v>
      </c>
      <c r="G28" s="62">
        <f t="shared" si="9"/>
        <v>8511</v>
      </c>
      <c r="H28" s="62">
        <f t="shared" si="9"/>
        <v>8511</v>
      </c>
      <c r="I28" s="26">
        <f t="shared" si="9"/>
        <v>8511</v>
      </c>
      <c r="J28" s="26">
        <f t="shared" ref="J28:AB28" si="10">+I28</f>
        <v>8511</v>
      </c>
      <c r="K28" s="26">
        <f t="shared" si="10"/>
        <v>8511</v>
      </c>
      <c r="L28" s="26">
        <f t="shared" si="10"/>
        <v>8511</v>
      </c>
      <c r="M28" s="26">
        <f t="shared" si="10"/>
        <v>8511</v>
      </c>
      <c r="N28" s="26">
        <f t="shared" si="10"/>
        <v>8511</v>
      </c>
      <c r="O28" s="26">
        <f t="shared" si="10"/>
        <v>8511</v>
      </c>
      <c r="P28" s="26">
        <f t="shared" si="10"/>
        <v>8511</v>
      </c>
      <c r="Q28" s="26">
        <f t="shared" si="10"/>
        <v>8511</v>
      </c>
      <c r="R28" s="26">
        <f t="shared" si="10"/>
        <v>8511</v>
      </c>
      <c r="S28" s="26">
        <f t="shared" si="10"/>
        <v>8511</v>
      </c>
      <c r="T28" s="26">
        <f t="shared" si="10"/>
        <v>8511</v>
      </c>
      <c r="U28" s="26">
        <f t="shared" si="10"/>
        <v>8511</v>
      </c>
      <c r="V28" s="26">
        <f t="shared" si="10"/>
        <v>8511</v>
      </c>
      <c r="W28" s="26">
        <f t="shared" si="10"/>
        <v>8511</v>
      </c>
      <c r="X28" s="26">
        <f t="shared" si="10"/>
        <v>8511</v>
      </c>
      <c r="Y28" s="26">
        <f t="shared" si="10"/>
        <v>8511</v>
      </c>
      <c r="Z28" s="26">
        <f t="shared" si="10"/>
        <v>8511</v>
      </c>
      <c r="AA28" s="26">
        <f t="shared" si="10"/>
        <v>8511</v>
      </c>
      <c r="AB28" s="26">
        <f t="shared" si="10"/>
        <v>8511</v>
      </c>
    </row>
    <row r="29" spans="1:28">
      <c r="A29" s="26" t="s">
        <v>79</v>
      </c>
      <c r="B29" s="24"/>
      <c r="C29" s="26"/>
      <c r="D29" s="26">
        <f>SUM(E29:H29)</f>
        <v>390.08749999999998</v>
      </c>
      <c r="E29" s="62">
        <f>+E28/20/4/3*2</f>
        <v>70.924999999999997</v>
      </c>
      <c r="F29" s="62">
        <f>+F28/20/4</f>
        <v>106.3875</v>
      </c>
      <c r="G29" s="62">
        <f>+G28/20/4</f>
        <v>106.3875</v>
      </c>
      <c r="H29" s="62">
        <f>+H28/20/4</f>
        <v>106.3875</v>
      </c>
      <c r="I29" s="26">
        <f t="shared" ref="I29:AA29" si="11">+I28/20</f>
        <v>425.55</v>
      </c>
      <c r="J29" s="26">
        <f t="shared" si="11"/>
        <v>425.55</v>
      </c>
      <c r="K29" s="26">
        <f t="shared" si="11"/>
        <v>425.55</v>
      </c>
      <c r="L29" s="26">
        <f t="shared" si="11"/>
        <v>425.55</v>
      </c>
      <c r="M29" s="26">
        <f t="shared" si="11"/>
        <v>425.55</v>
      </c>
      <c r="N29" s="26">
        <f t="shared" si="11"/>
        <v>425.55</v>
      </c>
      <c r="O29" s="26">
        <f t="shared" si="11"/>
        <v>425.55</v>
      </c>
      <c r="P29" s="26">
        <f t="shared" si="11"/>
        <v>425.55</v>
      </c>
      <c r="Q29" s="26">
        <f t="shared" si="11"/>
        <v>425.55</v>
      </c>
      <c r="R29" s="26">
        <f t="shared" si="11"/>
        <v>425.55</v>
      </c>
      <c r="S29" s="26">
        <f t="shared" si="11"/>
        <v>425.55</v>
      </c>
      <c r="T29" s="26">
        <f t="shared" si="11"/>
        <v>425.55</v>
      </c>
      <c r="U29" s="26">
        <f t="shared" si="11"/>
        <v>425.55</v>
      </c>
      <c r="V29" s="26">
        <f t="shared" si="11"/>
        <v>425.55</v>
      </c>
      <c r="W29" s="26">
        <f t="shared" si="11"/>
        <v>425.55</v>
      </c>
      <c r="X29" s="26">
        <f t="shared" si="11"/>
        <v>425.55</v>
      </c>
      <c r="Y29" s="26">
        <f t="shared" si="11"/>
        <v>425.55</v>
      </c>
      <c r="Z29" s="26">
        <f t="shared" si="11"/>
        <v>425.55</v>
      </c>
      <c r="AA29" s="26">
        <f t="shared" si="11"/>
        <v>425.55</v>
      </c>
      <c r="AB29" s="26">
        <f>+AA31</f>
        <v>35.462499999997817</v>
      </c>
    </row>
    <row r="30" spans="1:28">
      <c r="A30" s="26" t="s">
        <v>119</v>
      </c>
      <c r="B30" s="24"/>
      <c r="C30" s="26"/>
      <c r="D30" s="26">
        <f>+H30</f>
        <v>390.08749999999998</v>
      </c>
      <c r="E30" s="62">
        <f>+SUM($E$29:E29)</f>
        <v>70.924999999999997</v>
      </c>
      <c r="F30" s="62">
        <f>+SUM($E$29:F29)</f>
        <v>177.3125</v>
      </c>
      <c r="G30" s="62">
        <f>+SUM($E$29:G29)</f>
        <v>283.7</v>
      </c>
      <c r="H30" s="62">
        <f>+SUM($E$29:H29)</f>
        <v>390.08749999999998</v>
      </c>
      <c r="I30" s="26">
        <f>+SUM($E$29:I29)</f>
        <v>815.63750000000005</v>
      </c>
      <c r="J30" s="26">
        <f>+SUM($E$29:J29)</f>
        <v>1241.1875</v>
      </c>
      <c r="K30" s="26">
        <f>+SUM($E$29:K29)</f>
        <v>1666.7375</v>
      </c>
      <c r="L30" s="26">
        <f>+SUM($E$29:L29)</f>
        <v>2092.2874999999999</v>
      </c>
      <c r="M30" s="26">
        <f>+SUM($E$29:M29)</f>
        <v>2517.8375000000001</v>
      </c>
      <c r="N30" s="26">
        <f>+SUM($E$29:N29)</f>
        <v>2943.3875000000003</v>
      </c>
      <c r="O30" s="26">
        <f>+SUM($E$29:O29)</f>
        <v>3368.9375000000005</v>
      </c>
      <c r="P30" s="26">
        <f>+SUM($E$29:P29)</f>
        <v>3794.4875000000006</v>
      </c>
      <c r="Q30" s="26">
        <f>+SUM($E$29:Q29)</f>
        <v>4220.0375000000004</v>
      </c>
      <c r="R30" s="26">
        <f>+SUM($E$29:R29)</f>
        <v>4645.5875000000005</v>
      </c>
      <c r="S30" s="26">
        <f>+SUM($E$29:S29)</f>
        <v>5071.1375000000007</v>
      </c>
      <c r="T30" s="26">
        <f>+SUM($E$29:T29)</f>
        <v>5496.6875000000009</v>
      </c>
      <c r="U30" s="26">
        <f>+SUM($E$29:U29)</f>
        <v>5922.2375000000011</v>
      </c>
      <c r="V30" s="26">
        <f>+SUM($E$29:V29)</f>
        <v>6347.7875000000013</v>
      </c>
      <c r="W30" s="26">
        <f>+SUM($E$29:W29)</f>
        <v>6773.3375000000015</v>
      </c>
      <c r="X30" s="26">
        <f>+SUM($E$29:X29)</f>
        <v>7198.8875000000016</v>
      </c>
      <c r="Y30" s="26">
        <f>+SUM($E$29:Y29)</f>
        <v>7624.4375000000018</v>
      </c>
      <c r="Z30" s="26">
        <f>+SUM($E$29:Z29)</f>
        <v>8049.987500000002</v>
      </c>
      <c r="AA30" s="26">
        <f>+SUM($E$29:AA29)</f>
        <v>8475.5375000000022</v>
      </c>
      <c r="AB30" s="26">
        <f>+SUM($E$29:AB29)</f>
        <v>8511</v>
      </c>
    </row>
    <row r="31" spans="1:28" s="14" customFormat="1">
      <c r="A31" s="28" t="s">
        <v>120</v>
      </c>
      <c r="B31" s="27"/>
      <c r="C31" s="28">
        <f>+C28-C29</f>
        <v>8511</v>
      </c>
      <c r="D31" s="28">
        <f>+D28-D30</f>
        <v>8120.9125000000004</v>
      </c>
      <c r="E31" s="64">
        <f>+E28-E30</f>
        <v>8440.0750000000007</v>
      </c>
      <c r="F31" s="64">
        <f>+F28-F30</f>
        <v>8333.6875</v>
      </c>
      <c r="G31" s="64">
        <f>+G28-G30</f>
        <v>8227.2999999999993</v>
      </c>
      <c r="H31" s="64">
        <f>+H28-H30</f>
        <v>8120.9125000000004</v>
      </c>
      <c r="I31" s="28">
        <f t="shared" ref="I31:AA31" si="12">+I28-I30</f>
        <v>7695.3625000000002</v>
      </c>
      <c r="J31" s="28">
        <f t="shared" si="12"/>
        <v>7269.8125</v>
      </c>
      <c r="K31" s="28">
        <f t="shared" si="12"/>
        <v>6844.2624999999998</v>
      </c>
      <c r="L31" s="28">
        <f t="shared" si="12"/>
        <v>6418.7124999999996</v>
      </c>
      <c r="M31" s="28">
        <f t="shared" si="12"/>
        <v>5993.1625000000004</v>
      </c>
      <c r="N31" s="28">
        <f t="shared" si="12"/>
        <v>5567.6124999999993</v>
      </c>
      <c r="O31" s="28">
        <f t="shared" si="12"/>
        <v>5142.0625</v>
      </c>
      <c r="P31" s="28">
        <f t="shared" si="12"/>
        <v>4716.5124999999989</v>
      </c>
      <c r="Q31" s="28">
        <f t="shared" si="12"/>
        <v>4290.9624999999996</v>
      </c>
      <c r="R31" s="28">
        <f t="shared" si="12"/>
        <v>3865.4124999999995</v>
      </c>
      <c r="S31" s="28">
        <f t="shared" si="12"/>
        <v>3439.8624999999993</v>
      </c>
      <c r="T31" s="28">
        <f t="shared" si="12"/>
        <v>3014.3124999999991</v>
      </c>
      <c r="U31" s="28">
        <f t="shared" si="12"/>
        <v>2588.7624999999989</v>
      </c>
      <c r="V31" s="28">
        <f t="shared" si="12"/>
        <v>2163.2124999999987</v>
      </c>
      <c r="W31" s="28">
        <f t="shared" si="12"/>
        <v>1737.6624999999985</v>
      </c>
      <c r="X31" s="28">
        <f t="shared" si="12"/>
        <v>1312.1124999999984</v>
      </c>
      <c r="Y31" s="28">
        <f t="shared" si="12"/>
        <v>886.56249999999818</v>
      </c>
      <c r="Z31" s="28">
        <f t="shared" si="12"/>
        <v>461.012499999998</v>
      </c>
      <c r="AA31" s="28">
        <f t="shared" si="12"/>
        <v>35.462499999997817</v>
      </c>
      <c r="AB31" s="28">
        <f>+AB28-AB30</f>
        <v>0</v>
      </c>
    </row>
    <row r="32" spans="1:28">
      <c r="A32" s="24"/>
      <c r="B32" s="24"/>
      <c r="C32" s="24"/>
      <c r="D32" s="24"/>
      <c r="E32" s="63"/>
      <c r="F32" s="63"/>
      <c r="G32" s="63"/>
      <c r="H32" s="63"/>
      <c r="I32" s="24"/>
      <c r="J32" s="24"/>
      <c r="K32" s="24"/>
      <c r="L32" s="24"/>
      <c r="M32" s="24"/>
      <c r="N32" s="24"/>
      <c r="O32" s="24"/>
      <c r="P32" s="24"/>
      <c r="Q32" s="24"/>
      <c r="R32" s="24"/>
      <c r="S32" s="24"/>
      <c r="T32" s="24"/>
      <c r="U32" s="24"/>
      <c r="V32" s="24"/>
      <c r="W32" s="24"/>
      <c r="X32" s="24"/>
      <c r="Y32" s="24"/>
      <c r="Z32" s="24"/>
      <c r="AA32" s="24"/>
      <c r="AB32" s="24"/>
    </row>
    <row r="33" spans="1:28" s="11" customFormat="1">
      <c r="A33" s="25" t="s">
        <v>122</v>
      </c>
      <c r="B33" s="25"/>
      <c r="C33" s="25"/>
      <c r="D33" s="25"/>
      <c r="E33" s="61"/>
      <c r="F33" s="61"/>
      <c r="G33" s="61"/>
      <c r="H33" s="61"/>
      <c r="I33" s="25"/>
      <c r="J33" s="25"/>
      <c r="K33" s="25"/>
      <c r="L33" s="25"/>
      <c r="M33" s="25"/>
      <c r="N33" s="25"/>
      <c r="O33" s="25"/>
      <c r="P33" s="25"/>
      <c r="Q33" s="25"/>
      <c r="R33" s="25"/>
      <c r="S33" s="25"/>
      <c r="T33" s="25"/>
      <c r="U33" s="25"/>
      <c r="V33" s="25"/>
      <c r="W33" s="25"/>
      <c r="X33" s="25"/>
      <c r="Y33" s="25"/>
      <c r="Z33" s="25"/>
      <c r="AA33" s="25"/>
      <c r="AB33" s="25"/>
    </row>
    <row r="34" spans="1:28">
      <c r="A34" s="26"/>
      <c r="B34" s="24"/>
      <c r="C34" s="26"/>
      <c r="D34" s="26"/>
      <c r="E34" s="62"/>
      <c r="F34" s="62"/>
      <c r="G34" s="62"/>
      <c r="H34" s="62"/>
      <c r="I34" s="26"/>
      <c r="J34" s="26"/>
      <c r="K34" s="26"/>
      <c r="L34" s="26"/>
      <c r="M34" s="26"/>
      <c r="N34" s="26"/>
      <c r="O34" s="26"/>
      <c r="P34" s="26"/>
      <c r="Q34" s="26"/>
      <c r="R34" s="26"/>
      <c r="S34" s="26"/>
      <c r="T34" s="26"/>
      <c r="U34" s="26"/>
      <c r="V34" s="26"/>
      <c r="W34" s="26"/>
      <c r="X34" s="26"/>
      <c r="Y34" s="26"/>
      <c r="Z34" s="26"/>
      <c r="AA34" s="26"/>
      <c r="AB34" s="26"/>
    </row>
    <row r="35" spans="1:28">
      <c r="A35" s="26" t="s">
        <v>12</v>
      </c>
      <c r="B35" s="24"/>
      <c r="C35" s="26">
        <f>+Model!C19</f>
        <v>-22.867241079703426</v>
      </c>
      <c r="D35" s="26">
        <f>SUM(E35:H35)</f>
        <v>1051.9527896148988</v>
      </c>
      <c r="E35" s="26">
        <f>+Model!E19</f>
        <v>160.59218775993992</v>
      </c>
      <c r="F35" s="26">
        <f>+Model!F19</f>
        <v>268.66449594531969</v>
      </c>
      <c r="G35" s="26">
        <f>+Model!G19</f>
        <v>268.66449594531969</v>
      </c>
      <c r="H35" s="26">
        <f>+Model!H19</f>
        <v>354.03160996431973</v>
      </c>
      <c r="I35" s="26">
        <f>+Model!I19</f>
        <v>1166.9606036951732</v>
      </c>
      <c r="J35" s="26">
        <f>+Model!J19</f>
        <v>1073.1710939471732</v>
      </c>
      <c r="K35" s="26">
        <f>+Model!K19</f>
        <v>1072.3294502963854</v>
      </c>
      <c r="L35" s="26">
        <f>+Model!L19</f>
        <v>1071.4709737725818</v>
      </c>
      <c r="M35" s="26">
        <f>+Model!M19</f>
        <v>1002.3734197183023</v>
      </c>
      <c r="N35" s="26">
        <f>+Model!N19</f>
        <v>1001.4802607429372</v>
      </c>
      <c r="O35" s="26">
        <f>+Model!O19</f>
        <v>1000.5692385880646</v>
      </c>
      <c r="P35" s="26">
        <f>+Model!P19</f>
        <v>999.63999599009469</v>
      </c>
      <c r="Q35" s="26">
        <f>+Model!Q19</f>
        <v>998.69216854016531</v>
      </c>
      <c r="R35" s="26">
        <f>+Model!R19</f>
        <v>446.53011283711339</v>
      </c>
      <c r="S35" s="26">
        <f>+Model!S19</f>
        <v>445.54399315820694</v>
      </c>
      <c r="T35" s="26">
        <f>+Model!T19</f>
        <v>444.53815108572235</v>
      </c>
      <c r="U35" s="26">
        <f>+Model!U19</f>
        <v>443.512192171788</v>
      </c>
      <c r="V35" s="26">
        <f>+Model!V19</f>
        <v>442.46571407957504</v>
      </c>
      <c r="W35" s="26">
        <f>+Model!W19</f>
        <v>441.39830642551777</v>
      </c>
      <c r="X35" s="26">
        <f>+Model!X19</f>
        <v>440.30955061837938</v>
      </c>
      <c r="Y35" s="26">
        <f>+Model!Y19</f>
        <v>439.19901969509823</v>
      </c>
      <c r="Z35" s="26">
        <f>+Model!Z19</f>
        <v>438.06627815335139</v>
      </c>
      <c r="AA35" s="26">
        <f>+Model!AA19</f>
        <v>436.91088178076973</v>
      </c>
      <c r="AB35" s="26">
        <f>+Model!AB19</f>
        <v>36.42633620672801</v>
      </c>
    </row>
    <row r="36" spans="1:28">
      <c r="A36" s="26" t="s">
        <v>123</v>
      </c>
      <c r="B36" s="24"/>
      <c r="C36" s="26">
        <f>-C22</f>
        <v>0</v>
      </c>
      <c r="D36" s="26">
        <f>SUM(E36:H36)</f>
        <v>-975.21875</v>
      </c>
      <c r="E36" s="26">
        <f t="shared" ref="E36:AA36" si="13">-E22</f>
        <v>-177.3125</v>
      </c>
      <c r="F36" s="26">
        <f t="shared" si="13"/>
        <v>-265.96875</v>
      </c>
      <c r="G36" s="26">
        <f t="shared" si="13"/>
        <v>-265.96875</v>
      </c>
      <c r="H36" s="26">
        <f t="shared" si="13"/>
        <v>-265.96875</v>
      </c>
      <c r="I36" s="26">
        <f t="shared" si="13"/>
        <v>-1063.875</v>
      </c>
      <c r="J36" s="26">
        <f t="shared" si="13"/>
        <v>-1063.875</v>
      </c>
      <c r="K36" s="26">
        <f t="shared" si="13"/>
        <v>-1063.875</v>
      </c>
      <c r="L36" s="26">
        <f t="shared" si="13"/>
        <v>-1063.875</v>
      </c>
      <c r="M36" s="26">
        <f t="shared" si="13"/>
        <v>-1063.875</v>
      </c>
      <c r="N36" s="26">
        <f t="shared" si="13"/>
        <v>-1063.875</v>
      </c>
      <c r="O36" s="26">
        <f t="shared" si="13"/>
        <v>-1063.875</v>
      </c>
      <c r="P36" s="26">
        <f t="shared" si="13"/>
        <v>-88.65625</v>
      </c>
      <c r="Q36" s="26">
        <f t="shared" si="13"/>
        <v>0</v>
      </c>
      <c r="R36" s="26">
        <f t="shared" si="13"/>
        <v>0</v>
      </c>
      <c r="S36" s="26">
        <f t="shared" si="13"/>
        <v>0</v>
      </c>
      <c r="T36" s="26">
        <f t="shared" si="13"/>
        <v>0</v>
      </c>
      <c r="U36" s="26">
        <f t="shared" si="13"/>
        <v>0</v>
      </c>
      <c r="V36" s="26">
        <f t="shared" si="13"/>
        <v>0</v>
      </c>
      <c r="W36" s="26">
        <f t="shared" si="13"/>
        <v>0</v>
      </c>
      <c r="X36" s="26">
        <f t="shared" si="13"/>
        <v>0</v>
      </c>
      <c r="Y36" s="26">
        <f t="shared" si="13"/>
        <v>0</v>
      </c>
      <c r="Z36" s="26">
        <f t="shared" si="13"/>
        <v>0</v>
      </c>
      <c r="AA36" s="26">
        <f t="shared" si="13"/>
        <v>0</v>
      </c>
      <c r="AB36" s="26">
        <f>-AB22</f>
        <v>0</v>
      </c>
    </row>
    <row r="37" spans="1:28">
      <c r="A37" s="26" t="s">
        <v>124</v>
      </c>
      <c r="B37" s="24"/>
      <c r="C37" s="26">
        <f>+Model!C22+Model!C23</f>
        <v>-41.421177015755333</v>
      </c>
      <c r="D37" s="26">
        <f>SUM(E37:H37)</f>
        <v>-345.61932706618745</v>
      </c>
      <c r="E37" s="26">
        <f t="shared" ref="E37:AB37" si="14">E9+E17</f>
        <v>-100.63360635256393</v>
      </c>
      <c r="F37" s="26">
        <f t="shared" si="14"/>
        <v>-82.571158772011046</v>
      </c>
      <c r="G37" s="26">
        <f t="shared" si="14"/>
        <v>-81.664816964782133</v>
      </c>
      <c r="H37" s="26">
        <f t="shared" si="14"/>
        <v>-80.749744976830328</v>
      </c>
      <c r="I37" s="26">
        <f t="shared" si="14"/>
        <v>-313.67101773957324</v>
      </c>
      <c r="J37" s="26">
        <f t="shared" si="14"/>
        <v>-274.59452953405304</v>
      </c>
      <c r="K37" s="26">
        <f t="shared" si="14"/>
        <v>-238.42210217351581</v>
      </c>
      <c r="L37" s="26">
        <f t="shared" si="14"/>
        <v>-200.65087154165744</v>
      </c>
      <c r="M37" s="26">
        <f t="shared" si="14"/>
        <v>-161.21345263129481</v>
      </c>
      <c r="N37" s="26">
        <f t="shared" si="14"/>
        <v>-123.44180389056751</v>
      </c>
      <c r="O37" s="26">
        <f t="shared" si="14"/>
        <v>-95.985082727520407</v>
      </c>
      <c r="P37" s="26">
        <f t="shared" si="14"/>
        <v>-76.673345727516889</v>
      </c>
      <c r="Q37" s="26">
        <f t="shared" si="14"/>
        <v>-56.360310494190813</v>
      </c>
      <c r="R37" s="26">
        <f t="shared" si="14"/>
        <v>1.8595518248135706E-4</v>
      </c>
      <c r="S37" s="26">
        <f t="shared" si="14"/>
        <v>1.8595518248135706E-4</v>
      </c>
      <c r="T37" s="26">
        <f t="shared" si="14"/>
        <v>1.8595518248135706E-4</v>
      </c>
      <c r="U37" s="26">
        <f t="shared" si="14"/>
        <v>1.8595518248135706E-4</v>
      </c>
      <c r="V37" s="26">
        <f t="shared" si="14"/>
        <v>1.8595518248135706E-4</v>
      </c>
      <c r="W37" s="26">
        <f t="shared" si="14"/>
        <v>1.8595518248135706E-4</v>
      </c>
      <c r="X37" s="26">
        <f t="shared" si="14"/>
        <v>1.8595518248135706E-4</v>
      </c>
      <c r="Y37" s="26">
        <f t="shared" si="14"/>
        <v>1.8595518248135706E-4</v>
      </c>
      <c r="Z37" s="26">
        <f t="shared" si="14"/>
        <v>1.8595518248135706E-4</v>
      </c>
      <c r="AA37" s="26">
        <f t="shared" si="14"/>
        <v>1.8595518248135706E-4</v>
      </c>
      <c r="AB37" s="26">
        <f t="shared" si="14"/>
        <v>1.8595518248135706E-4</v>
      </c>
    </row>
    <row r="38" spans="1:28" s="14" customFormat="1">
      <c r="A38" s="28" t="s">
        <v>125</v>
      </c>
      <c r="B38" s="27"/>
      <c r="C38" s="28">
        <f>SUM(C35:C37)</f>
        <v>-64.288418095458752</v>
      </c>
      <c r="D38" s="28">
        <f t="shared" ref="D38:AA38" si="15">SUM(D35:D37)</f>
        <v>-268.8852874512886</v>
      </c>
      <c r="E38" s="28">
        <f t="shared" si="15"/>
        <v>-117.35391859262401</v>
      </c>
      <c r="F38" s="28">
        <f t="shared" si="15"/>
        <v>-79.87541282669136</v>
      </c>
      <c r="G38" s="28">
        <f t="shared" si="15"/>
        <v>-78.969071019462447</v>
      </c>
      <c r="H38" s="28">
        <f t="shared" si="15"/>
        <v>7.3131149874893993</v>
      </c>
      <c r="I38" s="28">
        <f t="shared" si="15"/>
        <v>-210.58541404440007</v>
      </c>
      <c r="J38" s="28">
        <f t="shared" si="15"/>
        <v>-265.29843558687986</v>
      </c>
      <c r="K38" s="28">
        <f t="shared" si="15"/>
        <v>-229.96765187713041</v>
      </c>
      <c r="L38" s="28">
        <f t="shared" si="15"/>
        <v>-193.05489776907561</v>
      </c>
      <c r="M38" s="28">
        <f t="shared" si="15"/>
        <v>-222.71503291299248</v>
      </c>
      <c r="N38" s="28">
        <f t="shared" si="15"/>
        <v>-185.83654314763035</v>
      </c>
      <c r="O38" s="28">
        <f t="shared" si="15"/>
        <v>-159.29084413945577</v>
      </c>
      <c r="P38" s="28">
        <f t="shared" si="15"/>
        <v>834.31040026257779</v>
      </c>
      <c r="Q38" s="28">
        <f t="shared" si="15"/>
        <v>942.33185804597451</v>
      </c>
      <c r="R38" s="28">
        <f t="shared" si="15"/>
        <v>446.53029879229587</v>
      </c>
      <c r="S38" s="28">
        <f t="shared" si="15"/>
        <v>445.54417911338942</v>
      </c>
      <c r="T38" s="28">
        <f t="shared" si="15"/>
        <v>444.53833704090482</v>
      </c>
      <c r="U38" s="28">
        <f t="shared" si="15"/>
        <v>443.51237812697048</v>
      </c>
      <c r="V38" s="28">
        <f t="shared" si="15"/>
        <v>442.46590003475751</v>
      </c>
      <c r="W38" s="28">
        <f t="shared" si="15"/>
        <v>441.39849238070025</v>
      </c>
      <c r="X38" s="28">
        <f t="shared" si="15"/>
        <v>440.30973657356185</v>
      </c>
      <c r="Y38" s="28">
        <f t="shared" si="15"/>
        <v>439.1992056502807</v>
      </c>
      <c r="Z38" s="28">
        <f t="shared" si="15"/>
        <v>438.06646410853386</v>
      </c>
      <c r="AA38" s="28">
        <f t="shared" si="15"/>
        <v>436.9110677359522</v>
      </c>
      <c r="AB38" s="28">
        <f>SUM(AB35:AB37)</f>
        <v>36.426522161910491</v>
      </c>
    </row>
    <row r="39" spans="1:28">
      <c r="A39" s="26" t="s">
        <v>126</v>
      </c>
      <c r="B39" s="24"/>
      <c r="C39" s="26">
        <f>-(MAX(C38*0.15,0))</f>
        <v>0</v>
      </c>
      <c r="D39" s="26">
        <f>-(MAX(D38*0.15,0))</f>
        <v>0</v>
      </c>
      <c r="E39" s="26">
        <f>-(MAX(E38*0.15,0))</f>
        <v>0</v>
      </c>
      <c r="F39" s="26">
        <f>-(MAX(SUM($E$38:F38)*0.15,0))</f>
        <v>0</v>
      </c>
      <c r="G39" s="26">
        <f>-(MAX(SUM($E$38:G38)*0.15,0))</f>
        <v>0</v>
      </c>
      <c r="H39" s="26">
        <f>-(MAX(SUM($E$38:H38)*0.15,0))</f>
        <v>0</v>
      </c>
      <c r="I39" s="26">
        <f>-(MAX(I38*0.15,0))</f>
        <v>0</v>
      </c>
      <c r="J39" s="26">
        <f>-(MAX(J38*0.15,0))</f>
        <v>0</v>
      </c>
      <c r="K39" s="26">
        <f>-(MAX(K38*0.15,0))</f>
        <v>0</v>
      </c>
      <c r="L39" s="26">
        <f t="shared" ref="L39:AB39" si="16">-(MAX(L38*0.15,0))</f>
        <v>0</v>
      </c>
      <c r="M39" s="26">
        <f t="shared" si="16"/>
        <v>0</v>
      </c>
      <c r="N39" s="26">
        <f t="shared" si="16"/>
        <v>0</v>
      </c>
      <c r="O39" s="26">
        <f t="shared" si="16"/>
        <v>0</v>
      </c>
      <c r="P39" s="26">
        <f t="shared" si="16"/>
        <v>-125.14656003938666</v>
      </c>
      <c r="Q39" s="26">
        <f t="shared" si="16"/>
        <v>-141.34977870689616</v>
      </c>
      <c r="R39" s="26">
        <f t="shared" si="16"/>
        <v>-66.979544818844374</v>
      </c>
      <c r="S39" s="26">
        <f t="shared" si="16"/>
        <v>-66.83162686700841</v>
      </c>
      <c r="T39" s="26">
        <f t="shared" si="16"/>
        <v>-66.68075055613572</v>
      </c>
      <c r="U39" s="26">
        <f t="shared" si="16"/>
        <v>-66.526856719045568</v>
      </c>
      <c r="V39" s="26">
        <f t="shared" si="16"/>
        <v>-66.369885005213618</v>
      </c>
      <c r="W39" s="26">
        <f t="shared" si="16"/>
        <v>-66.209773857105034</v>
      </c>
      <c r="X39" s="26">
        <f t="shared" si="16"/>
        <v>-66.046460486034277</v>
      </c>
      <c r="Y39" s="26">
        <f t="shared" si="16"/>
        <v>-65.879880847542097</v>
      </c>
      <c r="Z39" s="26">
        <f t="shared" si="16"/>
        <v>-65.709969616280077</v>
      </c>
      <c r="AA39" s="26">
        <f t="shared" si="16"/>
        <v>-65.536660160392827</v>
      </c>
      <c r="AB39" s="26">
        <f t="shared" si="16"/>
        <v>-5.4639783242865736</v>
      </c>
    </row>
    <row r="40" spans="1:28">
      <c r="A40" s="26" t="s">
        <v>127</v>
      </c>
      <c r="B40" s="24"/>
      <c r="C40" s="26">
        <f>-C45</f>
        <v>0</v>
      </c>
      <c r="D40" s="26">
        <f>-D45</f>
        <v>0</v>
      </c>
      <c r="E40" s="26">
        <f t="shared" ref="E40:AB40" si="17">-E45</f>
        <v>0</v>
      </c>
      <c r="F40" s="26">
        <f t="shared" si="17"/>
        <v>0</v>
      </c>
      <c r="G40" s="26">
        <f t="shared" si="17"/>
        <v>0</v>
      </c>
      <c r="H40" s="26">
        <f>-H45</f>
        <v>0</v>
      </c>
      <c r="I40" s="26">
        <f t="shared" si="17"/>
        <v>0</v>
      </c>
      <c r="J40" s="26">
        <f t="shared" si="17"/>
        <v>0</v>
      </c>
      <c r="K40" s="26">
        <f t="shared" si="17"/>
        <v>0</v>
      </c>
      <c r="L40" s="26">
        <f t="shared" si="17"/>
        <v>0</v>
      </c>
      <c r="M40" s="26">
        <f t="shared" si="17"/>
        <v>0</v>
      </c>
      <c r="N40" s="26">
        <f t="shared" si="17"/>
        <v>0</v>
      </c>
      <c r="O40" s="26">
        <f>-O45</f>
        <v>0</v>
      </c>
      <c r="P40" s="26">
        <f>-P45</f>
        <v>125.14656003938666</v>
      </c>
      <c r="Q40" s="26">
        <f t="shared" si="17"/>
        <v>94.865762882247992</v>
      </c>
      <c r="R40" s="26">
        <f t="shared" si="17"/>
        <v>0</v>
      </c>
      <c r="S40" s="26">
        <f t="shared" si="17"/>
        <v>0</v>
      </c>
      <c r="T40" s="26">
        <f t="shared" si="17"/>
        <v>0</v>
      </c>
      <c r="U40" s="26">
        <f t="shared" si="17"/>
        <v>0</v>
      </c>
      <c r="V40" s="26">
        <f t="shared" si="17"/>
        <v>0</v>
      </c>
      <c r="W40" s="26">
        <f t="shared" si="17"/>
        <v>0</v>
      </c>
      <c r="X40" s="26">
        <f t="shared" si="17"/>
        <v>0</v>
      </c>
      <c r="Y40" s="26">
        <f t="shared" si="17"/>
        <v>0</v>
      </c>
      <c r="Z40" s="26">
        <f t="shared" si="17"/>
        <v>0</v>
      </c>
      <c r="AA40" s="26">
        <f t="shared" si="17"/>
        <v>0</v>
      </c>
      <c r="AB40" s="26">
        <f t="shared" si="17"/>
        <v>0</v>
      </c>
    </row>
    <row r="41" spans="1:28" s="14" customFormat="1">
      <c r="A41" s="28" t="s">
        <v>128</v>
      </c>
      <c r="B41" s="27"/>
      <c r="C41" s="28">
        <f>SUM(C39:C40)</f>
        <v>0</v>
      </c>
      <c r="D41" s="28">
        <f t="shared" ref="D41:AB41" si="18">SUM(D39:D40)</f>
        <v>0</v>
      </c>
      <c r="E41" s="28">
        <f t="shared" si="18"/>
        <v>0</v>
      </c>
      <c r="F41" s="28">
        <f t="shared" si="18"/>
        <v>0</v>
      </c>
      <c r="G41" s="28">
        <f t="shared" si="18"/>
        <v>0</v>
      </c>
      <c r="H41" s="28">
        <f t="shared" si="18"/>
        <v>0</v>
      </c>
      <c r="I41" s="28">
        <f t="shared" si="18"/>
        <v>0</v>
      </c>
      <c r="J41" s="28">
        <f t="shared" si="18"/>
        <v>0</v>
      </c>
      <c r="K41" s="28">
        <f t="shared" si="18"/>
        <v>0</v>
      </c>
      <c r="L41" s="28">
        <f t="shared" si="18"/>
        <v>0</v>
      </c>
      <c r="M41" s="28">
        <f t="shared" si="18"/>
        <v>0</v>
      </c>
      <c r="N41" s="28">
        <f t="shared" si="18"/>
        <v>0</v>
      </c>
      <c r="O41" s="28">
        <f t="shared" si="18"/>
        <v>0</v>
      </c>
      <c r="P41" s="28">
        <f t="shared" si="18"/>
        <v>0</v>
      </c>
      <c r="Q41" s="28">
        <f t="shared" si="18"/>
        <v>-46.484015824648168</v>
      </c>
      <c r="R41" s="28">
        <f t="shared" si="18"/>
        <v>-66.979544818844374</v>
      </c>
      <c r="S41" s="28">
        <f t="shared" si="18"/>
        <v>-66.83162686700841</v>
      </c>
      <c r="T41" s="28">
        <f t="shared" si="18"/>
        <v>-66.68075055613572</v>
      </c>
      <c r="U41" s="28">
        <f t="shared" si="18"/>
        <v>-66.526856719045568</v>
      </c>
      <c r="V41" s="28">
        <f t="shared" si="18"/>
        <v>-66.369885005213618</v>
      </c>
      <c r="W41" s="28">
        <f t="shared" si="18"/>
        <v>-66.209773857105034</v>
      </c>
      <c r="X41" s="28">
        <f t="shared" si="18"/>
        <v>-66.046460486034277</v>
      </c>
      <c r="Y41" s="28">
        <f t="shared" si="18"/>
        <v>-65.879880847542097</v>
      </c>
      <c r="Z41" s="28">
        <f t="shared" si="18"/>
        <v>-65.709969616280077</v>
      </c>
      <c r="AA41" s="28">
        <f t="shared" si="18"/>
        <v>-65.536660160392827</v>
      </c>
      <c r="AB41" s="28">
        <f t="shared" si="18"/>
        <v>-5.4639783242865736</v>
      </c>
    </row>
    <row r="42" spans="1:28">
      <c r="A42" s="26"/>
      <c r="B42" s="24"/>
      <c r="C42" s="26"/>
      <c r="D42" s="26"/>
      <c r="E42" s="62"/>
      <c r="F42" s="62"/>
      <c r="G42" s="62"/>
      <c r="H42" s="62"/>
      <c r="I42" s="26"/>
      <c r="J42" s="26"/>
      <c r="K42" s="26"/>
      <c r="L42" s="26"/>
      <c r="M42" s="26"/>
      <c r="N42" s="26"/>
      <c r="O42" s="26"/>
      <c r="P42" s="26"/>
      <c r="Q42" s="26"/>
      <c r="R42" s="26"/>
      <c r="S42" s="26"/>
      <c r="T42" s="26"/>
      <c r="U42" s="26"/>
      <c r="V42" s="26"/>
      <c r="W42" s="26"/>
      <c r="X42" s="26"/>
      <c r="Y42" s="26"/>
      <c r="Z42" s="26"/>
      <c r="AA42" s="26"/>
      <c r="AB42" s="26"/>
    </row>
    <row r="43" spans="1:28" s="14" customFormat="1">
      <c r="A43" s="28" t="s">
        <v>129</v>
      </c>
      <c r="B43" s="27"/>
      <c r="C43" s="28">
        <v>0</v>
      </c>
      <c r="D43" s="28">
        <f>+C47</f>
        <v>9.6432627143188121</v>
      </c>
      <c r="E43" s="28">
        <f t="shared" ref="E43:J43" si="19">+D47</f>
        <v>51.073023080135485</v>
      </c>
      <c r="F43" s="28">
        <f t="shared" si="19"/>
        <v>68.676110869029088</v>
      </c>
      <c r="G43" s="28">
        <f t="shared" si="19"/>
        <v>80.657422793032794</v>
      </c>
      <c r="H43" s="28">
        <f t="shared" si="19"/>
        <v>92.502783445952161</v>
      </c>
      <c r="I43" s="28">
        <f t="shared" si="19"/>
        <v>92.502783445952161</v>
      </c>
      <c r="J43" s="28">
        <f t="shared" si="19"/>
        <v>124.09059555261217</v>
      </c>
      <c r="K43" s="28">
        <f>+J47</f>
        <v>163.88536089064417</v>
      </c>
      <c r="L43" s="28">
        <f>+K47</f>
        <v>198.38050867221372</v>
      </c>
      <c r="M43" s="28">
        <f>+L47</f>
        <v>176.26572025743954</v>
      </c>
      <c r="N43" s="28">
        <f>+M47</f>
        <v>192.06988740549485</v>
      </c>
      <c r="O43" s="28">
        <f t="shared" ref="O43:AB43" si="20">+N47</f>
        <v>207.96405695363566</v>
      </c>
      <c r="P43" s="28">
        <f>+O47</f>
        <v>220.01232292163465</v>
      </c>
      <c r="Q43" s="28">
        <f t="shared" si="20"/>
        <v>94.865762882247992</v>
      </c>
      <c r="R43" s="28">
        <f t="shared" si="20"/>
        <v>0</v>
      </c>
      <c r="S43" s="28">
        <f t="shared" si="20"/>
        <v>0</v>
      </c>
      <c r="T43" s="28">
        <f t="shared" si="20"/>
        <v>0</v>
      </c>
      <c r="U43" s="28">
        <f t="shared" si="20"/>
        <v>0</v>
      </c>
      <c r="V43" s="28">
        <f t="shared" si="20"/>
        <v>0</v>
      </c>
      <c r="W43" s="28">
        <f t="shared" si="20"/>
        <v>0</v>
      </c>
      <c r="X43" s="28">
        <f t="shared" si="20"/>
        <v>0</v>
      </c>
      <c r="Y43" s="28">
        <f t="shared" si="20"/>
        <v>0</v>
      </c>
      <c r="Z43" s="28">
        <f t="shared" si="20"/>
        <v>0</v>
      </c>
      <c r="AA43" s="28">
        <f t="shared" si="20"/>
        <v>0</v>
      </c>
      <c r="AB43" s="28">
        <f t="shared" si="20"/>
        <v>0</v>
      </c>
    </row>
    <row r="44" spans="1:28">
      <c r="A44" s="26" t="s">
        <v>130</v>
      </c>
      <c r="B44" s="24"/>
      <c r="C44" s="26">
        <f>-MIN(C38*0.15,0)</f>
        <v>9.6432627143188121</v>
      </c>
      <c r="D44" s="26">
        <f>SUM(E44:H44)</f>
        <v>41.429760365816669</v>
      </c>
      <c r="E44" s="26">
        <f>-MIN(E38*0.15,0)</f>
        <v>17.6030877888936</v>
      </c>
      <c r="F44" s="26">
        <f>-MIN(F38*0.15,0)</f>
        <v>11.981311924003704</v>
      </c>
      <c r="G44" s="26">
        <f t="shared" ref="G44:AB44" si="21">-MIN(G38*0.15,0)</f>
        <v>11.845360652919366</v>
      </c>
      <c r="H44" s="26">
        <f t="shared" si="21"/>
        <v>0</v>
      </c>
      <c r="I44" s="26">
        <f t="shared" si="21"/>
        <v>31.58781210666001</v>
      </c>
      <c r="J44" s="26">
        <f t="shared" si="21"/>
        <v>39.794765338031979</v>
      </c>
      <c r="K44" s="26">
        <f t="shared" si="21"/>
        <v>34.495147781569557</v>
      </c>
      <c r="L44" s="26">
        <f t="shared" si="21"/>
        <v>28.958234665361339</v>
      </c>
      <c r="M44" s="26">
        <f t="shared" si="21"/>
        <v>33.407254936948874</v>
      </c>
      <c r="N44" s="26">
        <f t="shared" si="21"/>
        <v>27.875481472144553</v>
      </c>
      <c r="O44" s="26">
        <f t="shared" si="21"/>
        <v>23.893626620918365</v>
      </c>
      <c r="P44" s="26">
        <f t="shared" si="21"/>
        <v>0</v>
      </c>
      <c r="Q44" s="26">
        <f t="shared" si="21"/>
        <v>0</v>
      </c>
      <c r="R44" s="26">
        <f t="shared" si="21"/>
        <v>0</v>
      </c>
      <c r="S44" s="26">
        <f t="shared" si="21"/>
        <v>0</v>
      </c>
      <c r="T44" s="26">
        <f t="shared" si="21"/>
        <v>0</v>
      </c>
      <c r="U44" s="26">
        <f t="shared" si="21"/>
        <v>0</v>
      </c>
      <c r="V44" s="26">
        <f t="shared" si="21"/>
        <v>0</v>
      </c>
      <c r="W44" s="26">
        <f t="shared" si="21"/>
        <v>0</v>
      </c>
      <c r="X44" s="26">
        <f t="shared" si="21"/>
        <v>0</v>
      </c>
      <c r="Y44" s="26">
        <f t="shared" si="21"/>
        <v>0</v>
      </c>
      <c r="Z44" s="26">
        <f t="shared" si="21"/>
        <v>0</v>
      </c>
      <c r="AA44" s="26">
        <f t="shared" si="21"/>
        <v>0</v>
      </c>
      <c r="AB44" s="26">
        <f t="shared" si="21"/>
        <v>0</v>
      </c>
    </row>
    <row r="45" spans="1:28" s="14" customFormat="1">
      <c r="A45" s="28" t="s">
        <v>131</v>
      </c>
      <c r="B45" s="27"/>
      <c r="C45" s="28">
        <f t="shared" ref="C45:O45" si="22">-MIN(C44,C39)</f>
        <v>0</v>
      </c>
      <c r="D45" s="28">
        <f t="shared" si="22"/>
        <v>0</v>
      </c>
      <c r="E45" s="28">
        <f t="shared" si="22"/>
        <v>0</v>
      </c>
      <c r="F45" s="28">
        <f t="shared" si="22"/>
        <v>0</v>
      </c>
      <c r="G45" s="28">
        <f t="shared" si="22"/>
        <v>0</v>
      </c>
      <c r="H45" s="28">
        <f t="shared" si="22"/>
        <v>0</v>
      </c>
      <c r="I45" s="28">
        <f t="shared" si="22"/>
        <v>0</v>
      </c>
      <c r="J45" s="28">
        <f t="shared" si="22"/>
        <v>0</v>
      </c>
      <c r="K45" s="28">
        <f t="shared" si="22"/>
        <v>0</v>
      </c>
      <c r="L45" s="28">
        <f t="shared" si="22"/>
        <v>0</v>
      </c>
      <c r="M45" s="28">
        <f t="shared" si="22"/>
        <v>0</v>
      </c>
      <c r="N45" s="28">
        <f t="shared" si="22"/>
        <v>0</v>
      </c>
      <c r="O45" s="28">
        <f t="shared" si="22"/>
        <v>0</v>
      </c>
      <c r="P45" s="28">
        <f>-MIN(-P39,P43)</f>
        <v>-125.14656003938666</v>
      </c>
      <c r="Q45" s="28">
        <f t="shared" ref="Q45:AA45" si="23">-MIN(-Q39,Q43)</f>
        <v>-94.865762882247992</v>
      </c>
      <c r="R45" s="28">
        <f t="shared" si="23"/>
        <v>0</v>
      </c>
      <c r="S45" s="28">
        <f t="shared" si="23"/>
        <v>0</v>
      </c>
      <c r="T45" s="28">
        <f t="shared" si="23"/>
        <v>0</v>
      </c>
      <c r="U45" s="28">
        <f t="shared" si="23"/>
        <v>0</v>
      </c>
      <c r="V45" s="28">
        <f t="shared" si="23"/>
        <v>0</v>
      </c>
      <c r="W45" s="28">
        <f t="shared" si="23"/>
        <v>0</v>
      </c>
      <c r="X45" s="28">
        <f t="shared" si="23"/>
        <v>0</v>
      </c>
      <c r="Y45" s="28">
        <f t="shared" si="23"/>
        <v>0</v>
      </c>
      <c r="Z45" s="28">
        <f t="shared" si="23"/>
        <v>0</v>
      </c>
      <c r="AA45" s="28">
        <f t="shared" si="23"/>
        <v>0</v>
      </c>
      <c r="AB45" s="28">
        <f>-MIN(-AB39,AB43)</f>
        <v>0</v>
      </c>
    </row>
    <row r="46" spans="1:28">
      <c r="A46" s="26" t="s">
        <v>132</v>
      </c>
      <c r="B46" s="24"/>
      <c r="C46" s="26"/>
      <c r="D46" s="26"/>
      <c r="E46" s="62"/>
      <c r="F46" s="62"/>
      <c r="G46" s="62"/>
      <c r="H46" s="62"/>
      <c r="I46" s="26"/>
      <c r="J46" s="26"/>
      <c r="K46" s="26"/>
      <c r="L46" s="26">
        <f>+L47-L45-L44-L43</f>
        <v>-51.073023080135528</v>
      </c>
      <c r="M46" s="26">
        <f>+M47-M45-M44-M43</f>
        <v>-17.603087788893561</v>
      </c>
      <c r="N46" s="26">
        <f>+N47-N45-N44-N43</f>
        <v>-11.981311924003734</v>
      </c>
      <c r="O46" s="26">
        <f>+O47-O45-O44-O43</f>
        <v>-11.845360652919368</v>
      </c>
      <c r="P46" s="26"/>
      <c r="Q46" s="26"/>
      <c r="R46" s="26"/>
      <c r="S46" s="26"/>
      <c r="T46" s="26"/>
      <c r="U46" s="26"/>
      <c r="V46" s="26"/>
      <c r="W46" s="26"/>
      <c r="X46" s="26"/>
      <c r="Y46" s="26"/>
      <c r="Z46" s="26"/>
      <c r="AA46" s="26"/>
      <c r="AB46" s="26"/>
    </row>
    <row r="47" spans="1:28" s="14" customFormat="1">
      <c r="A47" s="28" t="s">
        <v>133</v>
      </c>
      <c r="B47" s="27"/>
      <c r="C47" s="28">
        <f>SUM(C44:C46)</f>
        <v>9.6432627143188121</v>
      </c>
      <c r="D47" s="28">
        <f>SUM(D43:D46)</f>
        <v>51.073023080135485</v>
      </c>
      <c r="E47" s="28">
        <f t="shared" ref="E47:K47" si="24">SUM(E43:E46)</f>
        <v>68.676110869029088</v>
      </c>
      <c r="F47" s="28">
        <f t="shared" si="24"/>
        <v>80.657422793032794</v>
      </c>
      <c r="G47" s="28">
        <f t="shared" si="24"/>
        <v>92.502783445952161</v>
      </c>
      <c r="H47" s="28">
        <f t="shared" si="24"/>
        <v>92.502783445952161</v>
      </c>
      <c r="I47" s="28">
        <f t="shared" si="24"/>
        <v>124.09059555261217</v>
      </c>
      <c r="J47" s="28">
        <f t="shared" si="24"/>
        <v>163.88536089064417</v>
      </c>
      <c r="K47" s="28">
        <f t="shared" si="24"/>
        <v>198.38050867221372</v>
      </c>
      <c r="L47" s="28">
        <f>MIN(SUM(E44:L44),L43+L45+L44)</f>
        <v>176.26572025743954</v>
      </c>
      <c r="M47" s="28">
        <f>MIN(SUM(F44:M44),M43+M45+M44)</f>
        <v>192.06988740549485</v>
      </c>
      <c r="N47" s="28">
        <f>MIN(SUM(G44:N44),N43+N45+N44)</f>
        <v>207.96405695363566</v>
      </c>
      <c r="O47" s="28">
        <f>MIN(SUM(H44:O44),O43+O45+O44)</f>
        <v>220.01232292163465</v>
      </c>
      <c r="P47" s="28">
        <f>MIN(SUM(I44:P44),P43+P45+P44)</f>
        <v>94.865762882247992</v>
      </c>
      <c r="Q47" s="28">
        <f t="shared" ref="Q47:AB47" si="25">MIN(SUM(J44:Q44),Q43+Q45+Q44)</f>
        <v>0</v>
      </c>
      <c r="R47" s="28">
        <f t="shared" si="25"/>
        <v>0</v>
      </c>
      <c r="S47" s="28">
        <f t="shared" si="25"/>
        <v>0</v>
      </c>
      <c r="T47" s="28">
        <f t="shared" si="25"/>
        <v>0</v>
      </c>
      <c r="U47" s="28">
        <f t="shared" si="25"/>
        <v>0</v>
      </c>
      <c r="V47" s="28">
        <f t="shared" si="25"/>
        <v>0</v>
      </c>
      <c r="W47" s="28">
        <f t="shared" si="25"/>
        <v>0</v>
      </c>
      <c r="X47" s="28">
        <f t="shared" si="25"/>
        <v>0</v>
      </c>
      <c r="Y47" s="28">
        <f t="shared" si="25"/>
        <v>0</v>
      </c>
      <c r="Z47" s="28">
        <f t="shared" si="25"/>
        <v>0</v>
      </c>
      <c r="AA47" s="28">
        <f t="shared" si="25"/>
        <v>0</v>
      </c>
      <c r="AB47" s="28">
        <f t="shared" si="25"/>
        <v>0</v>
      </c>
    </row>
    <row r="48" spans="1:28">
      <c r="A48" s="13"/>
      <c r="C48" s="13"/>
      <c r="D48" s="13"/>
      <c r="E48" s="65"/>
      <c r="F48" s="65"/>
      <c r="G48" s="65"/>
      <c r="H48" s="65"/>
      <c r="I48" s="13"/>
      <c r="J48" s="13"/>
      <c r="K48" s="13"/>
      <c r="L48" s="13"/>
      <c r="M48" s="13"/>
      <c r="N48" s="13"/>
      <c r="O48" s="13"/>
      <c r="P48" s="13"/>
      <c r="Q48" s="13"/>
      <c r="R48" s="13"/>
      <c r="S48" s="13"/>
      <c r="T48" s="13"/>
      <c r="U48" s="13"/>
      <c r="V48" s="13"/>
      <c r="W48" s="13"/>
      <c r="X48" s="13"/>
      <c r="Y48" s="13"/>
      <c r="Z48" s="13"/>
      <c r="AA48" s="13"/>
    </row>
    <row r="49" spans="1:27">
      <c r="A49" s="13"/>
      <c r="C49" s="13"/>
      <c r="D49" s="13"/>
      <c r="E49" s="65"/>
      <c r="F49" s="65"/>
      <c r="G49" s="65"/>
      <c r="H49" s="65"/>
      <c r="I49" s="13"/>
      <c r="J49" s="13"/>
      <c r="K49" s="13"/>
      <c r="L49" s="13"/>
      <c r="M49" s="13"/>
      <c r="N49" s="13"/>
      <c r="O49" s="13"/>
      <c r="P49" s="13"/>
      <c r="Q49" s="13"/>
      <c r="R49" s="13"/>
      <c r="S49" s="13"/>
      <c r="T49" s="13"/>
      <c r="U49" s="13"/>
      <c r="V49" s="13"/>
      <c r="W49" s="13"/>
      <c r="X49" s="13"/>
      <c r="Y49" s="13"/>
      <c r="Z49" s="13"/>
      <c r="AA49" s="13"/>
    </row>
    <row r="52" spans="1:27">
      <c r="D52" s="12"/>
    </row>
    <row r="55" spans="1:27">
      <c r="D55" s="12"/>
    </row>
  </sheetData>
  <phoneticPr fontId="36" type="noConversion"/>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dimension ref="A1:A17"/>
  <sheetViews>
    <sheetView topLeftCell="A10" zoomScale="80" zoomScaleNormal="80" workbookViewId="0">
      <selection activeCell="A22" sqref="A22"/>
    </sheetView>
  </sheetViews>
  <sheetFormatPr defaultRowHeight="18.75"/>
  <cols>
    <col min="1" max="1" width="151.7109375" style="89" bestFit="1" customWidth="1"/>
    <col min="2" max="16384" width="9.140625" style="89"/>
  </cols>
  <sheetData>
    <row r="1" spans="1:1">
      <c r="A1" s="88" t="str">
        <f>+[1]Assump!$A$1</f>
        <v>Assumptions used for Seirijai wind power park project calculations</v>
      </c>
    </row>
    <row r="3" spans="1:1">
      <c r="A3" s="90"/>
    </row>
    <row r="4" spans="1:1">
      <c r="A4" s="172" t="s">
        <v>175</v>
      </c>
    </row>
    <row r="5" spans="1:1" ht="72.75" customHeight="1">
      <c r="A5" s="91" t="s">
        <v>172</v>
      </c>
    </row>
    <row r="6" spans="1:1">
      <c r="A6" s="172" t="s">
        <v>173</v>
      </c>
    </row>
    <row r="7" spans="1:1" ht="62.25" customHeight="1">
      <c r="A7" s="173" t="s">
        <v>57</v>
      </c>
    </row>
    <row r="8" spans="1:1" ht="39.75" customHeight="1">
      <c r="A8" s="92" t="s">
        <v>66</v>
      </c>
    </row>
    <row r="9" spans="1:1" ht="23.25" customHeight="1">
      <c r="A9" s="173" t="s">
        <v>63</v>
      </c>
    </row>
    <row r="10" spans="1:1" ht="37.5">
      <c r="A10" s="91" t="s">
        <v>64</v>
      </c>
    </row>
    <row r="11" spans="1:1">
      <c r="A11" s="172" t="s">
        <v>58</v>
      </c>
    </row>
    <row r="12" spans="1:1" ht="37.5">
      <c r="A12" s="172" t="s">
        <v>59</v>
      </c>
    </row>
    <row r="13" spans="1:1" ht="37.5">
      <c r="A13" s="172" t="s">
        <v>60</v>
      </c>
    </row>
    <row r="14" spans="1:1" ht="37.5">
      <c r="A14" s="91" t="s">
        <v>61</v>
      </c>
    </row>
    <row r="15" spans="1:1">
      <c r="A15" s="172" t="s">
        <v>62</v>
      </c>
    </row>
    <row r="16" spans="1:1" ht="37.5">
      <c r="A16" s="172" t="s">
        <v>178</v>
      </c>
    </row>
    <row r="17" spans="1:1" ht="37.5">
      <c r="A17" s="91" t="s">
        <v>65</v>
      </c>
    </row>
  </sheetData>
  <phoneticPr fontId="36" type="noConversion"/>
  <pageMargins left="0.75" right="0.75" top="1" bottom="1" header="0.5" footer="0.5"/>
  <headerFooter alignWithMargins="0"/>
</worksheet>
</file>

<file path=xl/worksheets/sheet6.xml><?xml version="1.0" encoding="utf-8"?>
<worksheet xmlns="http://schemas.openxmlformats.org/spreadsheetml/2006/main" xmlns:r="http://schemas.openxmlformats.org/officeDocument/2006/relationships">
  <dimension ref="A2:X221"/>
  <sheetViews>
    <sheetView workbookViewId="0">
      <pane xSplit="1" ySplit="2" topLeftCell="B3" activePane="bottomRight" state="frozen"/>
      <selection pane="topRight" activeCell="B1" sqref="B1"/>
      <selection pane="bottomLeft" activeCell="A3" sqref="A3"/>
      <selection pane="bottomRight" activeCell="D26" sqref="D26"/>
    </sheetView>
  </sheetViews>
  <sheetFormatPr defaultRowHeight="15"/>
  <cols>
    <col min="1" max="1" width="8.85546875" style="1" bestFit="1" customWidth="1"/>
    <col min="2" max="3" width="11.7109375" style="12" bestFit="1" customWidth="1"/>
    <col min="4" max="4" width="10" style="12" bestFit="1" customWidth="1"/>
    <col min="5" max="5" width="11.7109375" style="12" bestFit="1" customWidth="1"/>
    <col min="6" max="6" width="8.85546875" style="1" bestFit="1" customWidth="1"/>
    <col min="7" max="7" width="10.140625" style="12" bestFit="1" customWidth="1"/>
    <col min="8" max="8" width="10.7109375" style="12" bestFit="1" customWidth="1"/>
    <col min="9" max="9" width="10" style="12" bestFit="1" customWidth="1"/>
    <col min="10" max="10" width="10.140625" style="12" bestFit="1" customWidth="1"/>
    <col min="11" max="11" width="8.85546875" style="1" bestFit="1" customWidth="1"/>
    <col min="12" max="12" width="8.85546875" style="12" bestFit="1" customWidth="1"/>
    <col min="13" max="13" width="10.7109375" style="12" bestFit="1" customWidth="1"/>
    <col min="14" max="14" width="10" style="12" bestFit="1" customWidth="1"/>
    <col min="15" max="15" width="9.140625" style="1"/>
    <col min="16" max="16" width="8.85546875" style="1" bestFit="1" customWidth="1"/>
    <col min="17" max="17" width="10.140625" style="12" bestFit="1" customWidth="1"/>
    <col min="18" max="18" width="10.7109375" style="12" bestFit="1" customWidth="1"/>
    <col min="19" max="19" width="10" style="12" bestFit="1" customWidth="1"/>
    <col min="20" max="20" width="11.7109375" style="14" bestFit="1" customWidth="1"/>
    <col min="21" max="21" width="9.140625" style="14"/>
    <col min="22" max="22" width="9.140625" style="1"/>
    <col min="23" max="23" width="11.7109375" style="14" bestFit="1" customWidth="1"/>
    <col min="24" max="24" width="9.140625" style="14"/>
    <col min="25" max="16384" width="9.140625" style="1"/>
  </cols>
  <sheetData>
    <row r="2" spans="1:24">
      <c r="A2" s="1" t="s">
        <v>32</v>
      </c>
      <c r="B2" s="12" t="s">
        <v>33</v>
      </c>
      <c r="C2" s="12" t="s">
        <v>13</v>
      </c>
      <c r="D2" s="12" t="s">
        <v>34</v>
      </c>
      <c r="G2" s="12" t="s">
        <v>35</v>
      </c>
      <c r="H2" s="12" t="s">
        <v>13</v>
      </c>
      <c r="I2" s="12" t="s">
        <v>34</v>
      </c>
      <c r="L2" s="12" t="s">
        <v>36</v>
      </c>
      <c r="M2" s="12" t="s">
        <v>13</v>
      </c>
      <c r="N2" s="12" t="s">
        <v>34</v>
      </c>
      <c r="Q2" s="12" t="s">
        <v>37</v>
      </c>
      <c r="R2" s="12" t="s">
        <v>13</v>
      </c>
      <c r="S2" s="12" t="s">
        <v>34</v>
      </c>
      <c r="T2" s="14" t="s">
        <v>38</v>
      </c>
      <c r="W2" s="14" t="s">
        <v>38</v>
      </c>
    </row>
    <row r="3" spans="1:24">
      <c r="A3" s="84">
        <v>40544</v>
      </c>
      <c r="B3" s="12">
        <f t="shared" ref="B3:B13" si="0">+B4+C3</f>
        <v>6775999.9982437454</v>
      </c>
      <c r="D3" s="12">
        <v>22524.55</v>
      </c>
      <c r="F3" s="84">
        <v>40544</v>
      </c>
      <c r="G3" s="12">
        <f t="shared" ref="G3:G14" si="1">+G4+H3</f>
        <v>138303.87224281742</v>
      </c>
      <c r="H3" s="12">
        <v>0</v>
      </c>
      <c r="I3" s="12">
        <v>459.74571362372569</v>
      </c>
      <c r="K3" s="84">
        <v>40544</v>
      </c>
      <c r="L3" s="12">
        <v>1339.92</v>
      </c>
      <c r="N3" s="12">
        <v>4.454355885078777</v>
      </c>
      <c r="P3" s="84">
        <v>40544</v>
      </c>
      <c r="Q3" s="12">
        <v>268089.17102351709</v>
      </c>
      <c r="S3" s="12">
        <v>891.17308601067487</v>
      </c>
      <c r="T3" s="85">
        <f>+R3+M3+H3+C3</f>
        <v>0</v>
      </c>
      <c r="U3" s="85">
        <f>+S3+N3+I3+D3</f>
        <v>23879.923155519478</v>
      </c>
      <c r="W3" s="85">
        <f>+T3/1000</f>
        <v>0</v>
      </c>
      <c r="X3" s="85">
        <f>+U3/1000</f>
        <v>23.879923155519478</v>
      </c>
    </row>
    <row r="4" spans="1:24">
      <c r="A4" s="84">
        <v>40575</v>
      </c>
      <c r="B4" s="12">
        <f t="shared" si="0"/>
        <v>6775999.9982437454</v>
      </c>
      <c r="D4" s="12">
        <v>22524.55</v>
      </c>
      <c r="F4" s="84">
        <v>40575</v>
      </c>
      <c r="G4" s="12">
        <f t="shared" si="1"/>
        <v>138303.87224281742</v>
      </c>
      <c r="H4" s="12">
        <v>0</v>
      </c>
      <c r="I4" s="12">
        <v>459.74571362372569</v>
      </c>
      <c r="K4" s="84">
        <v>40575</v>
      </c>
      <c r="L4" s="12">
        <v>1339.92</v>
      </c>
      <c r="N4" s="12">
        <v>4.454355885078777</v>
      </c>
      <c r="P4" s="84">
        <v>40575</v>
      </c>
      <c r="Q4" s="12">
        <v>268089.17102351709</v>
      </c>
      <c r="S4" s="12">
        <v>891.17308601067487</v>
      </c>
      <c r="T4" s="85">
        <f t="shared" ref="T4:T67" si="2">+R4+M4+H4+C4</f>
        <v>0</v>
      </c>
      <c r="U4" s="85">
        <f t="shared" ref="U4:U67" si="3">+S4+N4+I4+D4</f>
        <v>23879.923155519478</v>
      </c>
      <c r="W4" s="85">
        <f t="shared" ref="W4:W67" si="4">+T4/1000</f>
        <v>0</v>
      </c>
      <c r="X4" s="85">
        <f t="shared" ref="X4:X67" si="5">+U4/1000</f>
        <v>23.879923155519478</v>
      </c>
    </row>
    <row r="5" spans="1:24">
      <c r="A5" s="84">
        <v>40603</v>
      </c>
      <c r="B5" s="12">
        <f t="shared" si="0"/>
        <v>6775999.9982437454</v>
      </c>
      <c r="C5" s="12">
        <v>1680000</v>
      </c>
      <c r="D5" s="12">
        <v>22524.55</v>
      </c>
      <c r="F5" s="84">
        <v>40603</v>
      </c>
      <c r="G5" s="12">
        <f t="shared" si="1"/>
        <v>138303.87224281742</v>
      </c>
      <c r="H5" s="12">
        <v>34290.210843373497</v>
      </c>
      <c r="I5" s="12">
        <v>459.74571362372569</v>
      </c>
      <c r="K5" s="84">
        <v>40603</v>
      </c>
      <c r="L5" s="12">
        <f>+L4-M4</f>
        <v>1339.92</v>
      </c>
      <c r="M5" s="12">
        <v>332.21153846153845</v>
      </c>
      <c r="N5" s="12">
        <v>4.454355885078777</v>
      </c>
      <c r="P5" s="84">
        <v>40603</v>
      </c>
      <c r="Q5" s="12">
        <v>268089.17102351709</v>
      </c>
      <c r="R5" s="12">
        <v>66562.537913893335</v>
      </c>
      <c r="S5" s="12">
        <v>891.17308601067487</v>
      </c>
      <c r="T5" s="85">
        <f t="shared" si="2"/>
        <v>1781184.9602957284</v>
      </c>
      <c r="U5" s="85">
        <f t="shared" si="3"/>
        <v>23879.923155519478</v>
      </c>
      <c r="W5" s="85">
        <f t="shared" si="4"/>
        <v>1781.1849602957284</v>
      </c>
      <c r="X5" s="85">
        <f t="shared" si="5"/>
        <v>23.879923155519478</v>
      </c>
    </row>
    <row r="6" spans="1:24">
      <c r="A6" s="84">
        <v>40634</v>
      </c>
      <c r="B6" s="12">
        <f t="shared" si="0"/>
        <v>5095999.9982437454</v>
      </c>
      <c r="C6" s="12">
        <v>28390.07</v>
      </c>
      <c r="D6" s="12">
        <f t="shared" ref="D6:D12" si="6">45330.02-C6</f>
        <v>16939.949999999997</v>
      </c>
      <c r="F6" s="84">
        <v>40634</v>
      </c>
      <c r="G6" s="12">
        <f t="shared" si="1"/>
        <v>104013.66139944392</v>
      </c>
      <c r="H6" s="12">
        <v>579.4630444856349</v>
      </c>
      <c r="I6" s="12">
        <f t="shared" ref="I6:I14" si="7">925.22-H6</f>
        <v>345.75695551436513</v>
      </c>
      <c r="K6" s="84">
        <v>40634</v>
      </c>
      <c r="L6" s="12">
        <f t="shared" ref="L6:L69" si="8">+L5-M5</f>
        <v>1007.7084615384616</v>
      </c>
      <c r="M6" s="12">
        <v>5.6128359592215009</v>
      </c>
      <c r="N6" s="12">
        <v>3.3471640407784999</v>
      </c>
      <c r="P6" s="84">
        <v>40634</v>
      </c>
      <c r="Q6" s="12">
        <f t="shared" ref="Q6:Q69" si="9">+Q5-R5</f>
        <v>201526.63310962374</v>
      </c>
      <c r="R6" s="12">
        <v>1124.8262279888786</v>
      </c>
      <c r="S6" s="12">
        <f>1795.05-R6</f>
        <v>670.22377201112135</v>
      </c>
      <c r="T6" s="85">
        <f t="shared" si="2"/>
        <v>30099.972108433736</v>
      </c>
      <c r="U6" s="85">
        <f t="shared" si="3"/>
        <v>17959.277891566264</v>
      </c>
      <c r="W6" s="85">
        <f t="shared" si="4"/>
        <v>30.099972108433736</v>
      </c>
      <c r="X6" s="85">
        <f t="shared" si="5"/>
        <v>17.959277891566263</v>
      </c>
    </row>
    <row r="7" spans="1:24">
      <c r="A7" s="84">
        <v>40664</v>
      </c>
      <c r="B7" s="12">
        <f t="shared" si="0"/>
        <v>5067609.9282437451</v>
      </c>
      <c r="C7" s="12">
        <v>28484.44</v>
      </c>
      <c r="D7" s="12">
        <f t="shared" si="6"/>
        <v>16845.579999999998</v>
      </c>
      <c r="F7" s="84">
        <v>40664</v>
      </c>
      <c r="G7" s="12">
        <f t="shared" si="1"/>
        <v>103434.19835495829</v>
      </c>
      <c r="H7" s="12">
        <v>581.39191380908255</v>
      </c>
      <c r="I7" s="12">
        <f t="shared" si="7"/>
        <v>343.82808619091747</v>
      </c>
      <c r="K7" s="84">
        <v>40664</v>
      </c>
      <c r="L7" s="12">
        <f t="shared" si="8"/>
        <v>1002.0956255792402</v>
      </c>
      <c r="M7" s="12">
        <v>5.6331093605189988</v>
      </c>
      <c r="N7" s="12">
        <v>3.3268906394810021</v>
      </c>
      <c r="P7" s="84">
        <v>40664</v>
      </c>
      <c r="Q7" s="12">
        <f t="shared" si="9"/>
        <v>200401.80688163487</v>
      </c>
      <c r="R7" s="12">
        <v>1128.571014828545</v>
      </c>
      <c r="S7" s="12">
        <f t="shared" ref="S7:S70" si="10">1795.05-R7</f>
        <v>666.47898517145495</v>
      </c>
      <c r="T7" s="85">
        <f t="shared" si="2"/>
        <v>30200.036037998147</v>
      </c>
      <c r="U7" s="85">
        <f t="shared" si="3"/>
        <v>17859.21396200185</v>
      </c>
      <c r="W7" s="85">
        <f t="shared" si="4"/>
        <v>30.200036037998146</v>
      </c>
      <c r="X7" s="85">
        <f t="shared" si="5"/>
        <v>17.859213962001849</v>
      </c>
    </row>
    <row r="8" spans="1:24">
      <c r="A8" s="84">
        <v>40695</v>
      </c>
      <c r="B8" s="12">
        <f t="shared" si="0"/>
        <v>5039125.4882437447</v>
      </c>
      <c r="C8" s="12">
        <v>28579.13</v>
      </c>
      <c r="D8" s="12">
        <f t="shared" si="6"/>
        <v>16750.889999999996</v>
      </c>
      <c r="F8" s="84">
        <v>40695</v>
      </c>
      <c r="G8" s="12">
        <f t="shared" si="1"/>
        <v>102852.80644114921</v>
      </c>
      <c r="H8" s="12">
        <v>583.32367933271553</v>
      </c>
      <c r="I8" s="12">
        <f t="shared" si="7"/>
        <v>341.8963206672845</v>
      </c>
      <c r="K8" s="84">
        <v>40695</v>
      </c>
      <c r="L8" s="12">
        <f t="shared" si="8"/>
        <v>996.46251621872113</v>
      </c>
      <c r="M8" s="12">
        <v>5.6504865616311406</v>
      </c>
      <c r="N8" s="12">
        <v>3.3095134383688602</v>
      </c>
      <c r="P8" s="84">
        <v>40695</v>
      </c>
      <c r="Q8" s="12">
        <f t="shared" si="9"/>
        <v>199273.23586680632</v>
      </c>
      <c r="R8" s="12">
        <v>1132.3158016682114</v>
      </c>
      <c r="S8" s="12">
        <f t="shared" si="10"/>
        <v>662.73419833178855</v>
      </c>
      <c r="T8" s="85">
        <f t="shared" si="2"/>
        <v>30300.41996756256</v>
      </c>
      <c r="U8" s="85">
        <f t="shared" si="3"/>
        <v>17758.830032437436</v>
      </c>
      <c r="W8" s="85">
        <f t="shared" si="4"/>
        <v>30.300419967562561</v>
      </c>
      <c r="X8" s="85">
        <f t="shared" si="5"/>
        <v>17.758830032437437</v>
      </c>
    </row>
    <row r="9" spans="1:24">
      <c r="A9" s="84">
        <v>40725</v>
      </c>
      <c r="B9" s="12">
        <f t="shared" si="0"/>
        <v>5010546.3582437448</v>
      </c>
      <c r="C9" s="12">
        <v>28674.12824374421</v>
      </c>
      <c r="D9" s="12">
        <f t="shared" si="6"/>
        <v>16655.891756255787</v>
      </c>
      <c r="F9" s="84">
        <v>40725</v>
      </c>
      <c r="G9" s="12">
        <f t="shared" si="1"/>
        <v>102269.4827618165</v>
      </c>
      <c r="H9" s="12">
        <v>585.26123725671914</v>
      </c>
      <c r="I9" s="12">
        <f t="shared" si="7"/>
        <v>339.95876274328089</v>
      </c>
      <c r="K9" s="84">
        <v>40725</v>
      </c>
      <c r="L9" s="12">
        <f t="shared" si="8"/>
        <v>990.81202965708997</v>
      </c>
      <c r="M9" s="12">
        <v>5.6707599629286376</v>
      </c>
      <c r="N9" s="12">
        <v>3.2892400370713633</v>
      </c>
      <c r="P9" s="84">
        <v>40725</v>
      </c>
      <c r="Q9" s="12">
        <f t="shared" si="9"/>
        <v>198140.92006513811</v>
      </c>
      <c r="R9" s="12">
        <v>1136.0605885078776</v>
      </c>
      <c r="S9" s="12">
        <f t="shared" si="10"/>
        <v>658.98941149212237</v>
      </c>
      <c r="T9" s="85">
        <f t="shared" si="2"/>
        <v>30401.120829471736</v>
      </c>
      <c r="U9" s="85">
        <f t="shared" si="3"/>
        <v>17658.12917052826</v>
      </c>
      <c r="W9" s="85">
        <f t="shared" si="4"/>
        <v>30.401120829471736</v>
      </c>
      <c r="X9" s="85">
        <f t="shared" si="5"/>
        <v>17.658129170528259</v>
      </c>
    </row>
    <row r="10" spans="1:24">
      <c r="A10" s="84">
        <v>40756</v>
      </c>
      <c r="B10" s="12">
        <f t="shared" si="0"/>
        <v>4981872.2300000004</v>
      </c>
      <c r="C10" s="12">
        <v>28769.45</v>
      </c>
      <c r="D10" s="12">
        <f t="shared" si="6"/>
        <v>16560.569999999996</v>
      </c>
      <c r="F10" s="84">
        <v>40756</v>
      </c>
      <c r="G10" s="12">
        <f t="shared" si="1"/>
        <v>101684.22152455978</v>
      </c>
      <c r="H10" s="12">
        <v>587.20748378127894</v>
      </c>
      <c r="I10" s="12">
        <f t="shared" si="7"/>
        <v>338.01251621872109</v>
      </c>
      <c r="K10" s="84">
        <v>40756</v>
      </c>
      <c r="L10" s="12">
        <f t="shared" si="8"/>
        <v>985.14126969416134</v>
      </c>
      <c r="M10" s="12">
        <v>5.6881371640407785</v>
      </c>
      <c r="N10" s="12">
        <v>3.2718628359592223</v>
      </c>
      <c r="P10" s="84">
        <v>40756</v>
      </c>
      <c r="Q10" s="12">
        <f t="shared" si="9"/>
        <v>197004.85947663023</v>
      </c>
      <c r="R10" s="12">
        <v>1139.805375347544</v>
      </c>
      <c r="S10" s="12">
        <f t="shared" si="10"/>
        <v>655.24462465245597</v>
      </c>
      <c r="T10" s="85">
        <f t="shared" si="2"/>
        <v>30502.150996292865</v>
      </c>
      <c r="U10" s="85">
        <f t="shared" si="3"/>
        <v>17557.099003707131</v>
      </c>
      <c r="W10" s="85">
        <f t="shared" si="4"/>
        <v>30.502150996292865</v>
      </c>
      <c r="X10" s="85">
        <f t="shared" si="5"/>
        <v>17.55709900370713</v>
      </c>
    </row>
    <row r="11" spans="1:24">
      <c r="A11" s="84">
        <v>40787</v>
      </c>
      <c r="B11" s="12">
        <f t="shared" si="0"/>
        <v>4953102.78</v>
      </c>
      <c r="C11" s="12">
        <v>28865.08</v>
      </c>
      <c r="D11" s="12">
        <f t="shared" si="6"/>
        <v>16464.939999999995</v>
      </c>
      <c r="F11" s="84">
        <v>40787</v>
      </c>
      <c r="G11" s="12">
        <f t="shared" si="1"/>
        <v>101097.01404077849</v>
      </c>
      <c r="H11" s="12">
        <v>589.15952270620949</v>
      </c>
      <c r="I11" s="12">
        <f t="shared" si="7"/>
        <v>336.06047729379054</v>
      </c>
      <c r="K11" s="84">
        <v>40787</v>
      </c>
      <c r="L11" s="12">
        <f t="shared" si="8"/>
        <v>979.45313253012057</v>
      </c>
      <c r="M11" s="12">
        <v>5.7084105653382764</v>
      </c>
      <c r="N11" s="12">
        <v>3.2515894346617245</v>
      </c>
      <c r="P11" s="84">
        <v>40787</v>
      </c>
      <c r="Q11" s="12">
        <f t="shared" si="9"/>
        <v>195865.05410128267</v>
      </c>
      <c r="R11" s="12">
        <v>1143.5501621872102</v>
      </c>
      <c r="S11" s="12">
        <f t="shared" si="10"/>
        <v>651.49983781278979</v>
      </c>
      <c r="T11" s="85">
        <f t="shared" si="2"/>
        <v>30603.498095458759</v>
      </c>
      <c r="U11" s="85">
        <f t="shared" si="3"/>
        <v>17455.751904541237</v>
      </c>
      <c r="W11" s="85">
        <f t="shared" si="4"/>
        <v>30.603498095458757</v>
      </c>
      <c r="X11" s="85">
        <f t="shared" si="5"/>
        <v>17.455751904541238</v>
      </c>
    </row>
    <row r="12" spans="1:24">
      <c r="A12" s="84">
        <v>40817</v>
      </c>
      <c r="B12" s="12">
        <f t="shared" si="0"/>
        <v>4924237.7</v>
      </c>
      <c r="C12" s="12">
        <v>28961.030000000002</v>
      </c>
      <c r="D12" s="12">
        <f t="shared" si="6"/>
        <v>16368.989999999994</v>
      </c>
      <c r="F12" s="84">
        <v>40817</v>
      </c>
      <c r="G12" s="12">
        <f t="shared" si="1"/>
        <v>100507.85451807229</v>
      </c>
      <c r="H12" s="12">
        <v>591.11735403151067</v>
      </c>
      <c r="I12" s="12">
        <f t="shared" si="7"/>
        <v>334.10264596848936</v>
      </c>
      <c r="K12" s="84">
        <v>40817</v>
      </c>
      <c r="L12" s="12">
        <f t="shared" si="8"/>
        <v>973.74472196478234</v>
      </c>
      <c r="M12" s="12">
        <v>5.7257877664504173</v>
      </c>
      <c r="N12" s="12">
        <v>3.2342122335495835</v>
      </c>
      <c r="P12" s="84">
        <v>40817</v>
      </c>
      <c r="Q12" s="12">
        <f t="shared" si="9"/>
        <v>194721.50393909545</v>
      </c>
      <c r="R12" s="12">
        <v>1147.2949490268766</v>
      </c>
      <c r="S12" s="12">
        <f t="shared" si="10"/>
        <v>647.75505097312339</v>
      </c>
      <c r="T12" s="85">
        <f t="shared" si="2"/>
        <v>30705.168090824838</v>
      </c>
      <c r="U12" s="85">
        <f t="shared" si="3"/>
        <v>17354.081909175158</v>
      </c>
      <c r="W12" s="85">
        <f t="shared" si="4"/>
        <v>30.705168090824838</v>
      </c>
      <c r="X12" s="85">
        <f t="shared" si="5"/>
        <v>17.354081909175157</v>
      </c>
    </row>
    <row r="13" spans="1:24">
      <c r="A13" s="84">
        <v>40848</v>
      </c>
      <c r="B13" s="12">
        <f t="shared" si="0"/>
        <v>4895276.67</v>
      </c>
      <c r="C13" s="12">
        <v>29057.299999999996</v>
      </c>
      <c r="D13" s="12">
        <f>45330.02-C13</f>
        <v>16272.720000000001</v>
      </c>
      <c r="F13" s="84">
        <v>40848</v>
      </c>
      <c r="G13" s="12">
        <f t="shared" si="1"/>
        <v>99916.73716404078</v>
      </c>
      <c r="H13" s="12">
        <v>593.08387395736793</v>
      </c>
      <c r="I13" s="12">
        <f t="shared" si="7"/>
        <v>332.1361260426321</v>
      </c>
      <c r="K13" s="84">
        <v>40848</v>
      </c>
      <c r="L13" s="12">
        <f t="shared" si="8"/>
        <v>968.01893419833198</v>
      </c>
      <c r="M13" s="12">
        <v>5.7460611677479152</v>
      </c>
      <c r="N13" s="12">
        <v>3.2139388322520857</v>
      </c>
      <c r="P13" s="84">
        <v>40848</v>
      </c>
      <c r="Q13" s="12">
        <f t="shared" si="9"/>
        <v>193574.20899006858</v>
      </c>
      <c r="R13" s="12">
        <v>1151.039735866543</v>
      </c>
      <c r="S13" s="12">
        <f t="shared" si="10"/>
        <v>644.01026413345699</v>
      </c>
      <c r="T13" s="85">
        <f t="shared" si="2"/>
        <v>30807.169670991654</v>
      </c>
      <c r="U13" s="85">
        <f t="shared" si="3"/>
        <v>17252.080329008342</v>
      </c>
      <c r="W13" s="85">
        <f t="shared" si="4"/>
        <v>30.807169670991655</v>
      </c>
      <c r="X13" s="85">
        <f t="shared" si="5"/>
        <v>17.252080329008344</v>
      </c>
    </row>
    <row r="14" spans="1:24">
      <c r="A14" s="84">
        <v>40878</v>
      </c>
      <c r="B14" s="12">
        <f>+B15+C14</f>
        <v>4866219.37</v>
      </c>
      <c r="C14" s="12">
        <v>29153.9</v>
      </c>
      <c r="D14" s="12">
        <f>45330.02-C14</f>
        <v>16176.119999999995</v>
      </c>
      <c r="F14" s="84">
        <v>40878</v>
      </c>
      <c r="G14" s="12">
        <f t="shared" si="1"/>
        <v>99323.653290083414</v>
      </c>
      <c r="H14" s="12">
        <v>595.05329008341062</v>
      </c>
      <c r="I14" s="12">
        <f t="shared" si="7"/>
        <v>330.16670991658941</v>
      </c>
      <c r="K14" s="84">
        <v>40878</v>
      </c>
      <c r="L14" s="12">
        <f t="shared" si="8"/>
        <v>962.27287303058404</v>
      </c>
      <c r="M14" s="12">
        <v>5.7663345690454131</v>
      </c>
      <c r="N14" s="12">
        <v>3.1936654309545878</v>
      </c>
      <c r="P14" s="84">
        <v>40878</v>
      </c>
      <c r="Q14" s="12">
        <f t="shared" si="9"/>
        <v>192423.16925420205</v>
      </c>
      <c r="R14" s="12">
        <v>1154.7845227062091</v>
      </c>
      <c r="S14" s="12">
        <f t="shared" si="10"/>
        <v>640.26547729379081</v>
      </c>
      <c r="T14" s="85">
        <f t="shared" si="2"/>
        <v>30909.504147358668</v>
      </c>
      <c r="U14" s="85">
        <f t="shared" si="3"/>
        <v>17149.745852641332</v>
      </c>
      <c r="W14" s="85">
        <f t="shared" si="4"/>
        <v>30.909504147358668</v>
      </c>
      <c r="X14" s="85">
        <f t="shared" si="5"/>
        <v>17.149745852641331</v>
      </c>
    </row>
    <row r="15" spans="1:24">
      <c r="A15" s="84">
        <v>40909</v>
      </c>
      <c r="B15" s="12">
        <v>4837065.47</v>
      </c>
      <c r="C15" s="12">
        <v>29250.81</v>
      </c>
      <c r="D15" s="12">
        <f>45330.02-C15</f>
        <v>16079.209999999995</v>
      </c>
      <c r="F15" s="84">
        <v>40909</v>
      </c>
      <c r="G15" s="12">
        <v>98728.6</v>
      </c>
      <c r="H15" s="12">
        <v>597.03</v>
      </c>
      <c r="I15" s="12">
        <f>925.22-H15</f>
        <v>328.19000000000005</v>
      </c>
      <c r="K15" s="84">
        <v>40909</v>
      </c>
      <c r="L15" s="12">
        <f t="shared" si="8"/>
        <v>956.50653846153864</v>
      </c>
      <c r="M15" s="12">
        <v>5.78</v>
      </c>
      <c r="N15" s="12">
        <v>3.1800000000000006</v>
      </c>
      <c r="P15" s="84">
        <v>40909</v>
      </c>
      <c r="Q15" s="12">
        <f t="shared" si="9"/>
        <v>191268.38473149584</v>
      </c>
      <c r="R15" s="12">
        <f>+R14+3.74</f>
        <v>1158.5245227062092</v>
      </c>
      <c r="S15" s="12">
        <f t="shared" si="10"/>
        <v>636.5254772937908</v>
      </c>
      <c r="T15" s="85">
        <f t="shared" si="2"/>
        <v>31012.14452270621</v>
      </c>
      <c r="U15" s="85">
        <f t="shared" si="3"/>
        <v>17047.105477293786</v>
      </c>
      <c r="W15" s="85">
        <f t="shared" si="4"/>
        <v>31.012144522706212</v>
      </c>
      <c r="X15" s="85">
        <f t="shared" si="5"/>
        <v>17.047105477293787</v>
      </c>
    </row>
    <row r="16" spans="1:24">
      <c r="A16" s="84">
        <v>40940</v>
      </c>
      <c r="B16" s="12">
        <f>+B15-C15</f>
        <v>4807814.66</v>
      </c>
      <c r="C16" s="12">
        <v>29348.04</v>
      </c>
      <c r="D16" s="12">
        <f t="shared" ref="D16:D79" si="11">45330.02-C16</f>
        <v>15981.979999999996</v>
      </c>
      <c r="F16" s="84">
        <v>40940</v>
      </c>
      <c r="G16" s="12">
        <f>+G15-H15</f>
        <v>98131.57</v>
      </c>
      <c r="H16" s="12">
        <v>599.01</v>
      </c>
      <c r="I16" s="12">
        <f t="shared" ref="I16:I79" si="12">925.22-H16</f>
        <v>326.21000000000004</v>
      </c>
      <c r="K16" s="84">
        <v>40940</v>
      </c>
      <c r="L16" s="12">
        <f t="shared" si="8"/>
        <v>950.72653846153867</v>
      </c>
      <c r="M16" s="12">
        <v>5.8012734012974985</v>
      </c>
      <c r="N16" s="12">
        <v>3.1587265987025024</v>
      </c>
      <c r="P16" s="84">
        <v>40940</v>
      </c>
      <c r="Q16" s="12">
        <f t="shared" si="9"/>
        <v>190109.86020878964</v>
      </c>
      <c r="R16" s="12">
        <f t="shared" ref="R16:R79" si="13">+R15+3.74</f>
        <v>1162.2645227062092</v>
      </c>
      <c r="S16" s="12">
        <f t="shared" si="10"/>
        <v>632.78547729379079</v>
      </c>
      <c r="T16" s="85">
        <f t="shared" si="2"/>
        <v>31115.115796107508</v>
      </c>
      <c r="U16" s="85">
        <f t="shared" si="3"/>
        <v>16944.134203892489</v>
      </c>
      <c r="W16" s="85">
        <f t="shared" si="4"/>
        <v>31.115115796107506</v>
      </c>
      <c r="X16" s="85">
        <f t="shared" si="5"/>
        <v>16.944134203892489</v>
      </c>
    </row>
    <row r="17" spans="1:24">
      <c r="A17" s="84">
        <v>40969</v>
      </c>
      <c r="B17" s="12">
        <f t="shared" ref="B17:B80" si="14">+B16-C16</f>
        <v>4778466.62</v>
      </c>
      <c r="C17" s="12">
        <v>29445.599999999999</v>
      </c>
      <c r="D17" s="12">
        <f t="shared" si="11"/>
        <v>15884.419999999998</v>
      </c>
      <c r="F17" s="84">
        <v>40969</v>
      </c>
      <c r="G17" s="12">
        <f t="shared" ref="G17:G22" si="15">+G16-H16</f>
        <v>97532.560000000012</v>
      </c>
      <c r="H17" s="12">
        <v>601.01</v>
      </c>
      <c r="I17" s="12">
        <f t="shared" si="12"/>
        <v>324.21000000000004</v>
      </c>
      <c r="K17" s="84">
        <v>40969</v>
      </c>
      <c r="L17" s="12">
        <f t="shared" si="8"/>
        <v>944.92526506024114</v>
      </c>
      <c r="M17" s="12">
        <v>5.815938832252086</v>
      </c>
      <c r="N17" s="12">
        <v>3.1440611677479149</v>
      </c>
      <c r="P17" s="84">
        <v>40969</v>
      </c>
      <c r="Q17" s="12">
        <f t="shared" si="9"/>
        <v>188947.59568608343</v>
      </c>
      <c r="R17" s="12">
        <f t="shared" si="13"/>
        <v>1166.0045227062092</v>
      </c>
      <c r="S17" s="12">
        <f t="shared" si="10"/>
        <v>629.04547729379078</v>
      </c>
      <c r="T17" s="85">
        <f t="shared" si="2"/>
        <v>31218.430461538461</v>
      </c>
      <c r="U17" s="85">
        <f t="shared" si="3"/>
        <v>16840.819538461536</v>
      </c>
      <c r="W17" s="85">
        <f t="shared" si="4"/>
        <v>31.21843046153846</v>
      </c>
      <c r="X17" s="85">
        <f t="shared" si="5"/>
        <v>16.840819538461535</v>
      </c>
    </row>
    <row r="18" spans="1:24">
      <c r="A18" s="84">
        <v>41000</v>
      </c>
      <c r="B18" s="12">
        <f t="shared" si="14"/>
        <v>4749021.0200000005</v>
      </c>
      <c r="C18" s="12">
        <v>29543.48</v>
      </c>
      <c r="D18" s="12">
        <f t="shared" si="11"/>
        <v>15786.539999999997</v>
      </c>
      <c r="F18" s="84">
        <v>41000</v>
      </c>
      <c r="G18" s="12">
        <f t="shared" si="15"/>
        <v>96931.550000000017</v>
      </c>
      <c r="H18" s="12">
        <v>603</v>
      </c>
      <c r="I18" s="12">
        <f t="shared" si="12"/>
        <v>322.22000000000003</v>
      </c>
      <c r="K18" s="84">
        <v>41000</v>
      </c>
      <c r="L18" s="12">
        <f t="shared" si="8"/>
        <v>939.10932622798907</v>
      </c>
      <c r="M18" s="12">
        <v>5.8382122335495845</v>
      </c>
      <c r="N18" s="12">
        <v>3.1217877664504163</v>
      </c>
      <c r="P18" s="84">
        <v>41000</v>
      </c>
      <c r="Q18" s="12">
        <f t="shared" si="9"/>
        <v>187781.59116337722</v>
      </c>
      <c r="R18" s="12">
        <f t="shared" si="13"/>
        <v>1169.7445227062092</v>
      </c>
      <c r="S18" s="12">
        <f t="shared" si="10"/>
        <v>625.30547729379077</v>
      </c>
      <c r="T18" s="85">
        <f t="shared" si="2"/>
        <v>31322.062734939758</v>
      </c>
      <c r="U18" s="85">
        <f t="shared" si="3"/>
        <v>16737.187265060238</v>
      </c>
      <c r="W18" s="85">
        <f t="shared" si="4"/>
        <v>31.32206273493976</v>
      </c>
      <c r="X18" s="85">
        <f t="shared" si="5"/>
        <v>16.737187265060239</v>
      </c>
    </row>
    <row r="19" spans="1:24">
      <c r="A19" s="84">
        <v>41030</v>
      </c>
      <c r="B19" s="12">
        <f t="shared" si="14"/>
        <v>4719477.54</v>
      </c>
      <c r="C19" s="12">
        <v>29641.69</v>
      </c>
      <c r="D19" s="12">
        <f t="shared" si="11"/>
        <v>15688.329999999998</v>
      </c>
      <c r="F19" s="84">
        <v>41030</v>
      </c>
      <c r="G19" s="12">
        <f t="shared" si="15"/>
        <v>96328.550000000017</v>
      </c>
      <c r="H19" s="12">
        <v>604.99900000000002</v>
      </c>
      <c r="I19" s="12">
        <f t="shared" si="12"/>
        <v>320.221</v>
      </c>
      <c r="K19" s="84">
        <v>41030</v>
      </c>
      <c r="L19" s="12">
        <f t="shared" si="8"/>
        <v>933.27111399443947</v>
      </c>
      <c r="M19" s="12">
        <v>5.8538776645041724</v>
      </c>
      <c r="N19" s="12">
        <v>3.1061223354958285</v>
      </c>
      <c r="P19" s="84">
        <v>41030</v>
      </c>
      <c r="Q19" s="12">
        <f t="shared" si="9"/>
        <v>186611.84664067102</v>
      </c>
      <c r="R19" s="12">
        <f t="shared" si="13"/>
        <v>1173.4845227062092</v>
      </c>
      <c r="S19" s="12">
        <f t="shared" si="10"/>
        <v>621.56547729379076</v>
      </c>
      <c r="T19" s="85">
        <f t="shared" si="2"/>
        <v>31426.027400370713</v>
      </c>
      <c r="U19" s="85">
        <f t="shared" si="3"/>
        <v>16633.222599629284</v>
      </c>
      <c r="W19" s="85">
        <f t="shared" si="4"/>
        <v>31.426027400370714</v>
      </c>
      <c r="X19" s="85">
        <f t="shared" si="5"/>
        <v>16.633222599629285</v>
      </c>
    </row>
    <row r="20" spans="1:24">
      <c r="A20" s="84">
        <v>41061</v>
      </c>
      <c r="B20" s="12">
        <f t="shared" si="14"/>
        <v>4689835.8499999996</v>
      </c>
      <c r="C20" s="12">
        <v>29740.22</v>
      </c>
      <c r="D20" s="12">
        <f t="shared" si="11"/>
        <v>15589.799999999996</v>
      </c>
      <c r="F20" s="84">
        <v>41061</v>
      </c>
      <c r="G20" s="12">
        <f t="shared" si="15"/>
        <v>95723.551000000021</v>
      </c>
      <c r="H20" s="12">
        <v>607.00700000000006</v>
      </c>
      <c r="I20" s="12">
        <f t="shared" si="12"/>
        <v>318.21299999999997</v>
      </c>
      <c r="K20" s="84">
        <v>41061</v>
      </c>
      <c r="L20" s="12">
        <f t="shared" si="8"/>
        <v>927.41723632993535</v>
      </c>
      <c r="M20" s="12">
        <v>5.8771510658016712</v>
      </c>
      <c r="N20" s="12">
        <v>3.0828489341983296</v>
      </c>
      <c r="P20" s="84">
        <v>41061</v>
      </c>
      <c r="Q20" s="12">
        <f t="shared" si="9"/>
        <v>185438.3621179648</v>
      </c>
      <c r="R20" s="12">
        <f t="shared" si="13"/>
        <v>1177.2245227062092</v>
      </c>
      <c r="S20" s="12">
        <f t="shared" si="10"/>
        <v>617.82547729379075</v>
      </c>
      <c r="T20" s="85">
        <f t="shared" si="2"/>
        <v>31530.328673772012</v>
      </c>
      <c r="U20" s="85">
        <f t="shared" si="3"/>
        <v>16528.921326227985</v>
      </c>
      <c r="W20" s="85">
        <f t="shared" si="4"/>
        <v>31.530328673772011</v>
      </c>
      <c r="X20" s="85">
        <f t="shared" si="5"/>
        <v>16.528921326227984</v>
      </c>
    </row>
    <row r="21" spans="1:24">
      <c r="A21" s="84">
        <v>41091</v>
      </c>
      <c r="B21" s="12">
        <f t="shared" si="14"/>
        <v>4660095.63</v>
      </c>
      <c r="C21" s="12">
        <v>29839.080000000005</v>
      </c>
      <c r="D21" s="12">
        <f t="shared" si="11"/>
        <v>15490.939999999991</v>
      </c>
      <c r="F21" s="84">
        <v>41091</v>
      </c>
      <c r="G21" s="12">
        <f t="shared" si="15"/>
        <v>95116.544000000024</v>
      </c>
      <c r="H21" s="12">
        <v>609.02400000000011</v>
      </c>
      <c r="I21" s="12">
        <f t="shared" si="12"/>
        <v>316.19599999999991</v>
      </c>
      <c r="K21" s="84">
        <v>41091</v>
      </c>
      <c r="L21" s="12">
        <f t="shared" si="8"/>
        <v>921.54008526413372</v>
      </c>
      <c r="M21" s="12">
        <v>5.8938164967562594</v>
      </c>
      <c r="N21" s="12">
        <v>3.0661835032437414</v>
      </c>
      <c r="P21" s="84">
        <v>41091</v>
      </c>
      <c r="Q21" s="12">
        <f t="shared" si="9"/>
        <v>184261.13759525859</v>
      </c>
      <c r="R21" s="12">
        <f t="shared" si="13"/>
        <v>1180.9645227062092</v>
      </c>
      <c r="S21" s="12">
        <f t="shared" si="10"/>
        <v>614.08547729379075</v>
      </c>
      <c r="T21" s="85">
        <f t="shared" si="2"/>
        <v>31634.962339202972</v>
      </c>
      <c r="U21" s="85">
        <f t="shared" si="3"/>
        <v>16424.287660797025</v>
      </c>
      <c r="W21" s="85">
        <f t="shared" si="4"/>
        <v>31.634962339202971</v>
      </c>
      <c r="X21" s="85">
        <f t="shared" si="5"/>
        <v>16.424287660797024</v>
      </c>
    </row>
    <row r="22" spans="1:24">
      <c r="A22" s="84">
        <v>41122</v>
      </c>
      <c r="B22" s="12">
        <f t="shared" si="14"/>
        <v>4630256.55</v>
      </c>
      <c r="C22" s="12">
        <v>29938.270000000011</v>
      </c>
      <c r="D22" s="12">
        <f t="shared" si="11"/>
        <v>15391.749999999985</v>
      </c>
      <c r="F22" s="84">
        <v>41122</v>
      </c>
      <c r="G22" s="12">
        <f t="shared" si="15"/>
        <v>94507.520000000019</v>
      </c>
      <c r="H22" s="12">
        <v>611.05000000000018</v>
      </c>
      <c r="I22" s="12">
        <f t="shared" si="12"/>
        <v>314.16999999999985</v>
      </c>
      <c r="K22" s="84">
        <v>41122</v>
      </c>
      <c r="L22" s="12">
        <f t="shared" si="8"/>
        <v>915.64626876737748</v>
      </c>
      <c r="M22" s="12">
        <v>5.9180898980537586</v>
      </c>
      <c r="N22" s="12">
        <v>3.0419101019462422</v>
      </c>
      <c r="P22" s="84">
        <v>41122</v>
      </c>
      <c r="Q22" s="12">
        <f t="shared" si="9"/>
        <v>183080.1730725524</v>
      </c>
      <c r="R22" s="12">
        <f t="shared" si="13"/>
        <v>1184.7045227062092</v>
      </c>
      <c r="S22" s="12">
        <f t="shared" si="10"/>
        <v>610.34547729379074</v>
      </c>
      <c r="T22" s="85">
        <f t="shared" si="2"/>
        <v>31739.942612604274</v>
      </c>
      <c r="U22" s="85">
        <f t="shared" si="3"/>
        <v>16319.307387395722</v>
      </c>
      <c r="W22" s="85">
        <f t="shared" si="4"/>
        <v>31.739942612604274</v>
      </c>
      <c r="X22" s="85">
        <f t="shared" si="5"/>
        <v>16.319307387395721</v>
      </c>
    </row>
    <row r="23" spans="1:24">
      <c r="A23" s="84">
        <v>41153</v>
      </c>
      <c r="B23" s="12">
        <f t="shared" si="14"/>
        <v>4600318.28</v>
      </c>
      <c r="C23" s="12">
        <v>30037.790000000019</v>
      </c>
      <c r="D23" s="12">
        <f t="shared" si="11"/>
        <v>15292.229999999978</v>
      </c>
      <c r="F23" s="84">
        <v>41153</v>
      </c>
      <c r="G23" s="12">
        <f t="shared" ref="G23:G86" si="16">+G22-H22</f>
        <v>93896.470000000016</v>
      </c>
      <c r="H23" s="12">
        <v>613.08500000000026</v>
      </c>
      <c r="I23" s="12">
        <f t="shared" si="12"/>
        <v>312.13499999999976</v>
      </c>
      <c r="K23" s="84">
        <v>41153</v>
      </c>
      <c r="L23" s="12">
        <f t="shared" si="8"/>
        <v>909.72817886932376</v>
      </c>
      <c r="M23" s="12">
        <v>5.9357553290083471</v>
      </c>
      <c r="N23" s="12">
        <v>3.0242446709916537</v>
      </c>
      <c r="P23" s="84">
        <v>41153</v>
      </c>
      <c r="Q23" s="12">
        <f t="shared" si="9"/>
        <v>181895.46854984618</v>
      </c>
      <c r="R23" s="12">
        <f t="shared" si="13"/>
        <v>1188.4445227062092</v>
      </c>
      <c r="S23" s="12">
        <f t="shared" si="10"/>
        <v>606.60547729379073</v>
      </c>
      <c r="T23" s="85">
        <f t="shared" si="2"/>
        <v>31845.255278035238</v>
      </c>
      <c r="U23" s="85">
        <f t="shared" si="3"/>
        <v>16213.99472196476</v>
      </c>
      <c r="W23" s="85">
        <f t="shared" si="4"/>
        <v>31.845255278035239</v>
      </c>
      <c r="X23" s="85">
        <f t="shared" si="5"/>
        <v>16.21399472196476</v>
      </c>
    </row>
    <row r="24" spans="1:24">
      <c r="A24" s="84">
        <v>41183</v>
      </c>
      <c r="B24" s="12">
        <f t="shared" si="14"/>
        <v>4570280.49</v>
      </c>
      <c r="C24" s="12">
        <v>30137.640000000029</v>
      </c>
      <c r="D24" s="12">
        <f t="shared" si="11"/>
        <v>15192.379999999968</v>
      </c>
      <c r="F24" s="84">
        <v>41183</v>
      </c>
      <c r="G24" s="12">
        <f t="shared" si="16"/>
        <v>93283.385000000009</v>
      </c>
      <c r="H24" s="12">
        <v>615.12900000000036</v>
      </c>
      <c r="I24" s="12">
        <f t="shared" si="12"/>
        <v>310.09099999999967</v>
      </c>
      <c r="K24" s="84">
        <v>41183</v>
      </c>
      <c r="L24" s="12">
        <f t="shared" si="8"/>
        <v>903.79242354031544</v>
      </c>
      <c r="M24" s="12">
        <v>5.9610287303058467</v>
      </c>
      <c r="N24" s="12">
        <v>2.9989712696941542</v>
      </c>
      <c r="P24" s="84">
        <v>41183</v>
      </c>
      <c r="Q24" s="12">
        <f t="shared" si="9"/>
        <v>180707.02402713997</v>
      </c>
      <c r="R24" s="12">
        <f t="shared" si="13"/>
        <v>1192.1845227062092</v>
      </c>
      <c r="S24" s="12">
        <f t="shared" si="10"/>
        <v>602.86547729379072</v>
      </c>
      <c r="T24" s="85">
        <f t="shared" si="2"/>
        <v>31950.914551436545</v>
      </c>
      <c r="U24" s="85">
        <f t="shared" si="3"/>
        <v>16108.335448563454</v>
      </c>
      <c r="W24" s="85">
        <f t="shared" si="4"/>
        <v>31.950914551436544</v>
      </c>
      <c r="X24" s="85">
        <f t="shared" si="5"/>
        <v>16.108335448563455</v>
      </c>
    </row>
    <row r="25" spans="1:24">
      <c r="A25" s="84">
        <v>41214</v>
      </c>
      <c r="B25" s="12">
        <f t="shared" si="14"/>
        <v>4540142.8500000006</v>
      </c>
      <c r="C25" s="12">
        <v>30237.82000000004</v>
      </c>
      <c r="D25" s="12">
        <f t="shared" si="11"/>
        <v>15092.199999999957</v>
      </c>
      <c r="F25" s="84">
        <v>41214</v>
      </c>
      <c r="G25" s="12">
        <f t="shared" si="16"/>
        <v>92668.256000000008</v>
      </c>
      <c r="H25" s="12">
        <v>617.18200000000047</v>
      </c>
      <c r="I25" s="12">
        <f t="shared" si="12"/>
        <v>308.03799999999956</v>
      </c>
      <c r="K25" s="84">
        <v>41214</v>
      </c>
      <c r="L25" s="12">
        <f t="shared" si="8"/>
        <v>897.83139481000956</v>
      </c>
      <c r="M25" s="12">
        <v>5.9796941612604355</v>
      </c>
      <c r="N25" s="12">
        <v>2.9803058387395653</v>
      </c>
      <c r="P25" s="84">
        <v>41214</v>
      </c>
      <c r="Q25" s="12">
        <f t="shared" si="9"/>
        <v>179514.83950443377</v>
      </c>
      <c r="R25" s="12">
        <f t="shared" si="13"/>
        <v>1195.9245227062092</v>
      </c>
      <c r="S25" s="12">
        <f t="shared" si="10"/>
        <v>599.12547729379071</v>
      </c>
      <c r="T25" s="85">
        <f t="shared" si="2"/>
        <v>32056.906216867508</v>
      </c>
      <c r="U25" s="85">
        <f t="shared" si="3"/>
        <v>16002.343783132486</v>
      </c>
      <c r="W25" s="85">
        <f t="shared" si="4"/>
        <v>32.05690621686751</v>
      </c>
      <c r="X25" s="85">
        <f t="shared" si="5"/>
        <v>16.002343783132485</v>
      </c>
    </row>
    <row r="26" spans="1:24">
      <c r="A26" s="84">
        <v>41244</v>
      </c>
      <c r="B26" s="12">
        <f t="shared" si="14"/>
        <v>4509905.03</v>
      </c>
      <c r="C26" s="12">
        <v>30338.330000000053</v>
      </c>
      <c r="D26" s="12">
        <f t="shared" si="11"/>
        <v>14991.689999999944</v>
      </c>
      <c r="F26" s="84">
        <v>41244</v>
      </c>
      <c r="G26" s="12">
        <f t="shared" si="16"/>
        <v>92051.074000000008</v>
      </c>
      <c r="H26" s="12">
        <v>619.2440000000006</v>
      </c>
      <c r="I26" s="12">
        <f t="shared" si="12"/>
        <v>305.97599999999943</v>
      </c>
      <c r="K26" s="84">
        <v>41244</v>
      </c>
      <c r="L26" s="12">
        <f t="shared" si="8"/>
        <v>891.8517006487491</v>
      </c>
      <c r="M26" s="12">
        <v>6.0006941612604354</v>
      </c>
      <c r="N26" s="12">
        <v>2.9593058387395654</v>
      </c>
      <c r="P26" s="84">
        <v>41244</v>
      </c>
      <c r="Q26" s="12">
        <f t="shared" si="9"/>
        <v>178318.91498172755</v>
      </c>
      <c r="R26" s="12">
        <f t="shared" si="13"/>
        <v>1199.6645227062093</v>
      </c>
      <c r="S26" s="12">
        <f t="shared" si="10"/>
        <v>595.3854772937907</v>
      </c>
      <c r="T26" s="85">
        <f t="shared" si="2"/>
        <v>32163.239216867521</v>
      </c>
      <c r="U26" s="85">
        <f t="shared" si="3"/>
        <v>15896.010783132473</v>
      </c>
      <c r="W26" s="85">
        <f t="shared" si="4"/>
        <v>32.163239216867524</v>
      </c>
      <c r="X26" s="85">
        <f t="shared" si="5"/>
        <v>15.896010783132473</v>
      </c>
    </row>
    <row r="27" spans="1:24">
      <c r="A27" s="84">
        <v>41275</v>
      </c>
      <c r="B27" s="12">
        <f t="shared" si="14"/>
        <v>4479566.7</v>
      </c>
      <c r="C27" s="12">
        <v>30439.180000000066</v>
      </c>
      <c r="D27" s="12">
        <f t="shared" si="11"/>
        <v>14890.839999999931</v>
      </c>
      <c r="F27" s="84">
        <v>41275</v>
      </c>
      <c r="G27" s="12">
        <f t="shared" si="16"/>
        <v>91431.83</v>
      </c>
      <c r="H27" s="12">
        <v>621.31500000000074</v>
      </c>
      <c r="I27" s="12">
        <f t="shared" si="12"/>
        <v>303.90499999999929</v>
      </c>
      <c r="K27" s="84">
        <v>41275</v>
      </c>
      <c r="L27" s="12">
        <f t="shared" si="8"/>
        <v>885.85100648748869</v>
      </c>
      <c r="M27" s="12">
        <v>6.0216941612604353</v>
      </c>
      <c r="N27" s="12">
        <v>2.9383058387395655</v>
      </c>
      <c r="P27" s="84">
        <v>41275</v>
      </c>
      <c r="Q27" s="12">
        <f t="shared" si="9"/>
        <v>177119.25045902134</v>
      </c>
      <c r="R27" s="12">
        <f t="shared" si="13"/>
        <v>1203.4045227062093</v>
      </c>
      <c r="S27" s="12">
        <f t="shared" si="10"/>
        <v>591.64547729379069</v>
      </c>
      <c r="T27" s="85">
        <f t="shared" si="2"/>
        <v>32269.921216867537</v>
      </c>
      <c r="U27" s="85">
        <f t="shared" si="3"/>
        <v>15789.32878313246</v>
      </c>
      <c r="W27" s="85">
        <f t="shared" si="4"/>
        <v>32.269921216867537</v>
      </c>
      <c r="X27" s="85">
        <f t="shared" si="5"/>
        <v>15.78932878313246</v>
      </c>
    </row>
    <row r="28" spans="1:24">
      <c r="A28" s="84">
        <v>41306</v>
      </c>
      <c r="B28" s="12">
        <f t="shared" si="14"/>
        <v>4449127.5200000005</v>
      </c>
      <c r="C28" s="12">
        <v>30540.370000000079</v>
      </c>
      <c r="D28" s="12">
        <f t="shared" si="11"/>
        <v>14789.649999999918</v>
      </c>
      <c r="F28" s="84">
        <v>41306</v>
      </c>
      <c r="G28" s="12">
        <f t="shared" si="16"/>
        <v>90810.514999999999</v>
      </c>
      <c r="H28" s="12">
        <v>623.38900000000092</v>
      </c>
      <c r="I28" s="12">
        <f t="shared" si="12"/>
        <v>301.83099999999911</v>
      </c>
      <c r="K28" s="84">
        <v>41306</v>
      </c>
      <c r="L28" s="12">
        <f t="shared" si="8"/>
        <v>879.82931232622821</v>
      </c>
      <c r="M28" s="12">
        <v>6.0417941612604347</v>
      </c>
      <c r="N28" s="12">
        <v>2.9182058387395662</v>
      </c>
      <c r="P28" s="84">
        <v>41306</v>
      </c>
      <c r="Q28" s="12">
        <f t="shared" si="9"/>
        <v>175915.84593631513</v>
      </c>
      <c r="R28" s="12">
        <f t="shared" si="13"/>
        <v>1207.1445227062093</v>
      </c>
      <c r="S28" s="12">
        <f t="shared" si="10"/>
        <v>587.90547729379068</v>
      </c>
      <c r="T28" s="85">
        <f t="shared" si="2"/>
        <v>32376.94531686755</v>
      </c>
      <c r="U28" s="85">
        <f t="shared" si="3"/>
        <v>15682.304683132446</v>
      </c>
      <c r="W28" s="85">
        <f t="shared" si="4"/>
        <v>32.376945316867548</v>
      </c>
      <c r="X28" s="85">
        <f t="shared" si="5"/>
        <v>15.682304683132447</v>
      </c>
    </row>
    <row r="29" spans="1:24">
      <c r="A29" s="84">
        <v>41334</v>
      </c>
      <c r="B29" s="12">
        <f t="shared" si="14"/>
        <v>4418587.1500000004</v>
      </c>
      <c r="C29" s="12">
        <v>30641.900000000092</v>
      </c>
      <c r="D29" s="12">
        <f t="shared" si="11"/>
        <v>14688.119999999904</v>
      </c>
      <c r="F29" s="84">
        <v>41334</v>
      </c>
      <c r="G29" s="12">
        <f t="shared" si="16"/>
        <v>90187.126000000004</v>
      </c>
      <c r="H29" s="12">
        <v>625.46600000000115</v>
      </c>
      <c r="I29" s="12">
        <f t="shared" si="12"/>
        <v>299.75399999999888</v>
      </c>
      <c r="K29" s="84">
        <v>41334</v>
      </c>
      <c r="L29" s="12">
        <f t="shared" si="8"/>
        <v>873.78751816496776</v>
      </c>
      <c r="M29" s="12">
        <v>6.061894161260434</v>
      </c>
      <c r="N29" s="12">
        <v>2.8981058387395668</v>
      </c>
      <c r="P29" s="84">
        <v>41334</v>
      </c>
      <c r="Q29" s="12">
        <f t="shared" si="9"/>
        <v>174708.70141360891</v>
      </c>
      <c r="R29" s="12">
        <f t="shared" si="13"/>
        <v>1210.8845227062093</v>
      </c>
      <c r="S29" s="12">
        <f t="shared" si="10"/>
        <v>584.16547729379067</v>
      </c>
      <c r="T29" s="85">
        <f t="shared" si="2"/>
        <v>32484.312416867564</v>
      </c>
      <c r="U29" s="85">
        <f t="shared" si="3"/>
        <v>15574.937583132434</v>
      </c>
      <c r="W29" s="85">
        <f t="shared" si="4"/>
        <v>32.484312416867567</v>
      </c>
      <c r="X29" s="85">
        <f t="shared" si="5"/>
        <v>15.574937583132435</v>
      </c>
    </row>
    <row r="30" spans="1:24">
      <c r="A30" s="84">
        <v>41365</v>
      </c>
      <c r="B30" s="12">
        <f t="shared" si="14"/>
        <v>4387945.25</v>
      </c>
      <c r="C30" s="12">
        <v>30743.770000000106</v>
      </c>
      <c r="D30" s="12">
        <f t="shared" si="11"/>
        <v>14586.249999999891</v>
      </c>
      <c r="F30" s="84">
        <v>41365</v>
      </c>
      <c r="G30" s="12">
        <f t="shared" si="16"/>
        <v>89561.66</v>
      </c>
      <c r="H30" s="12">
        <v>627.54600000000141</v>
      </c>
      <c r="I30" s="12">
        <f t="shared" si="12"/>
        <v>297.67399999999861</v>
      </c>
      <c r="K30" s="84">
        <v>41365</v>
      </c>
      <c r="L30" s="12">
        <f t="shared" si="8"/>
        <v>867.72562400370737</v>
      </c>
      <c r="M30" s="12">
        <v>6.0819941612604334</v>
      </c>
      <c r="N30" s="12">
        <v>2.8780058387395675</v>
      </c>
      <c r="P30" s="84">
        <v>41365</v>
      </c>
      <c r="Q30" s="12">
        <f t="shared" si="9"/>
        <v>173497.8168909027</v>
      </c>
      <c r="R30" s="12">
        <f t="shared" si="13"/>
        <v>1214.6245227062093</v>
      </c>
      <c r="S30" s="12">
        <f t="shared" si="10"/>
        <v>580.42547729379066</v>
      </c>
      <c r="T30" s="85">
        <f t="shared" si="2"/>
        <v>32592.022516867575</v>
      </c>
      <c r="U30" s="85">
        <f t="shared" si="3"/>
        <v>15467.227483132419</v>
      </c>
      <c r="W30" s="85">
        <f t="shared" si="4"/>
        <v>32.592022516867573</v>
      </c>
      <c r="X30" s="85">
        <f t="shared" si="5"/>
        <v>15.467227483132419</v>
      </c>
    </row>
    <row r="31" spans="1:24">
      <c r="A31" s="84">
        <v>41395</v>
      </c>
      <c r="B31" s="12">
        <f t="shared" si="14"/>
        <v>4357201.4799999995</v>
      </c>
      <c r="C31" s="12">
        <v>30845.98000000012</v>
      </c>
      <c r="D31" s="12">
        <f t="shared" si="11"/>
        <v>14484.039999999877</v>
      </c>
      <c r="F31" s="84">
        <v>41395</v>
      </c>
      <c r="G31" s="12">
        <f t="shared" si="16"/>
        <v>88934.114000000001</v>
      </c>
      <c r="H31" s="12">
        <v>629.62900000000172</v>
      </c>
      <c r="I31" s="12">
        <f t="shared" si="12"/>
        <v>295.5909999999983</v>
      </c>
      <c r="K31" s="84">
        <v>41395</v>
      </c>
      <c r="L31" s="12">
        <f t="shared" si="8"/>
        <v>861.6436298424469</v>
      </c>
      <c r="M31" s="12">
        <v>6.1020941612604327</v>
      </c>
      <c r="N31" s="12">
        <v>2.8579058387395682</v>
      </c>
      <c r="P31" s="84">
        <v>41395</v>
      </c>
      <c r="Q31" s="12">
        <f t="shared" si="9"/>
        <v>172283.1923681965</v>
      </c>
      <c r="R31" s="12">
        <f t="shared" si="13"/>
        <v>1218.3645227062093</v>
      </c>
      <c r="S31" s="12">
        <f t="shared" si="10"/>
        <v>576.68547729379065</v>
      </c>
      <c r="T31" s="85">
        <f t="shared" si="2"/>
        <v>32700.075616867591</v>
      </c>
      <c r="U31" s="85">
        <f t="shared" si="3"/>
        <v>15359.174383132406</v>
      </c>
      <c r="W31" s="85">
        <f t="shared" si="4"/>
        <v>32.700075616867593</v>
      </c>
      <c r="X31" s="85">
        <f t="shared" si="5"/>
        <v>15.359174383132405</v>
      </c>
    </row>
    <row r="32" spans="1:24">
      <c r="A32" s="84">
        <v>41426</v>
      </c>
      <c r="B32" s="12">
        <f t="shared" si="14"/>
        <v>4326355.4999999991</v>
      </c>
      <c r="C32" s="12">
        <v>30948.530000000133</v>
      </c>
      <c r="D32" s="12">
        <f t="shared" si="11"/>
        <v>14381.489999999863</v>
      </c>
      <c r="F32" s="84">
        <v>41426</v>
      </c>
      <c r="G32" s="12">
        <f t="shared" si="16"/>
        <v>88304.485000000001</v>
      </c>
      <c r="H32" s="12">
        <v>631.71500000000208</v>
      </c>
      <c r="I32" s="12">
        <f t="shared" si="12"/>
        <v>293.50499999999795</v>
      </c>
      <c r="K32" s="84">
        <v>41426</v>
      </c>
      <c r="L32" s="12">
        <f t="shared" si="8"/>
        <v>855.54153568118647</v>
      </c>
      <c r="M32" s="12">
        <v>6.122194161260432</v>
      </c>
      <c r="N32" s="12">
        <v>2.8378058387395688</v>
      </c>
      <c r="P32" s="84">
        <v>41426</v>
      </c>
      <c r="Q32" s="12">
        <f t="shared" si="9"/>
        <v>171064.82784549028</v>
      </c>
      <c r="R32" s="12">
        <f t="shared" si="13"/>
        <v>1222.1045227062093</v>
      </c>
      <c r="S32" s="12">
        <f t="shared" si="10"/>
        <v>572.94547729379065</v>
      </c>
      <c r="T32" s="85">
        <f t="shared" si="2"/>
        <v>32808.471716867607</v>
      </c>
      <c r="U32" s="85">
        <f t="shared" si="3"/>
        <v>15250.778283132391</v>
      </c>
      <c r="W32" s="85">
        <f t="shared" si="4"/>
        <v>32.808471716867608</v>
      </c>
      <c r="X32" s="85">
        <f t="shared" si="5"/>
        <v>15.250778283132391</v>
      </c>
    </row>
    <row r="33" spans="1:24">
      <c r="A33" s="84">
        <v>41456</v>
      </c>
      <c r="B33" s="12">
        <f t="shared" si="14"/>
        <v>4295406.9699999988</v>
      </c>
      <c r="C33" s="12">
        <v>31051.420000000147</v>
      </c>
      <c r="D33" s="12">
        <f t="shared" si="11"/>
        <v>14278.599999999849</v>
      </c>
      <c r="F33" s="84">
        <v>41456</v>
      </c>
      <c r="G33" s="12">
        <f t="shared" si="16"/>
        <v>87672.77</v>
      </c>
      <c r="H33" s="12">
        <v>633.80400000000247</v>
      </c>
      <c r="I33" s="12">
        <f t="shared" si="12"/>
        <v>291.41599999999755</v>
      </c>
      <c r="K33" s="84">
        <v>41456</v>
      </c>
      <c r="L33" s="12">
        <f t="shared" si="8"/>
        <v>849.41934151992609</v>
      </c>
      <c r="M33" s="12">
        <v>6.1422941612604314</v>
      </c>
      <c r="N33" s="12">
        <v>2.8177058387395695</v>
      </c>
      <c r="P33" s="84">
        <v>41456</v>
      </c>
      <c r="Q33" s="12">
        <f t="shared" si="9"/>
        <v>169842.72332278406</v>
      </c>
      <c r="R33" s="12">
        <f t="shared" si="13"/>
        <v>1225.8445227062093</v>
      </c>
      <c r="S33" s="12">
        <f t="shared" si="10"/>
        <v>569.20547729379064</v>
      </c>
      <c r="T33" s="85">
        <f t="shared" si="2"/>
        <v>32917.21081686762</v>
      </c>
      <c r="U33" s="85">
        <f t="shared" si="3"/>
        <v>15142.039183132378</v>
      </c>
      <c r="W33" s="85">
        <f t="shared" si="4"/>
        <v>32.917210816867623</v>
      </c>
      <c r="X33" s="85">
        <f t="shared" si="5"/>
        <v>15.142039183132377</v>
      </c>
    </row>
    <row r="34" spans="1:24">
      <c r="A34" s="84">
        <v>41487</v>
      </c>
      <c r="B34" s="12">
        <f t="shared" si="14"/>
        <v>4264355.5499999989</v>
      </c>
      <c r="C34" s="12">
        <v>31154.650000000162</v>
      </c>
      <c r="D34" s="12">
        <f t="shared" si="11"/>
        <v>14175.369999999835</v>
      </c>
      <c r="F34" s="84">
        <v>41487</v>
      </c>
      <c r="G34" s="12">
        <f t="shared" si="16"/>
        <v>87038.966</v>
      </c>
      <c r="H34" s="12">
        <v>635.89600000000291</v>
      </c>
      <c r="I34" s="12">
        <f t="shared" si="12"/>
        <v>289.32399999999711</v>
      </c>
      <c r="K34" s="84">
        <v>41487</v>
      </c>
      <c r="L34" s="12">
        <f t="shared" si="8"/>
        <v>843.27704735866564</v>
      </c>
      <c r="M34" s="12">
        <v>6.1623941612604307</v>
      </c>
      <c r="N34" s="12">
        <v>2.7976058387395701</v>
      </c>
      <c r="P34" s="84">
        <v>41487</v>
      </c>
      <c r="Q34" s="12">
        <f t="shared" si="9"/>
        <v>168616.87880007786</v>
      </c>
      <c r="R34" s="12">
        <f t="shared" si="13"/>
        <v>1229.5845227062093</v>
      </c>
      <c r="S34" s="12">
        <f t="shared" si="10"/>
        <v>565.46547729379063</v>
      </c>
      <c r="T34" s="85">
        <f t="shared" si="2"/>
        <v>33026.292916867635</v>
      </c>
      <c r="U34" s="85">
        <f t="shared" si="3"/>
        <v>15032.957083132362</v>
      </c>
      <c r="W34" s="85">
        <f t="shared" si="4"/>
        <v>33.026292916867632</v>
      </c>
      <c r="X34" s="85">
        <f t="shared" si="5"/>
        <v>15.032957083132361</v>
      </c>
    </row>
    <row r="35" spans="1:24">
      <c r="A35" s="84">
        <v>41518</v>
      </c>
      <c r="B35" s="12">
        <f t="shared" si="14"/>
        <v>4233200.8999999985</v>
      </c>
      <c r="C35" s="12">
        <v>31258.220000000176</v>
      </c>
      <c r="D35" s="12">
        <f t="shared" si="11"/>
        <v>14071.799999999821</v>
      </c>
      <c r="F35" s="84">
        <v>41518</v>
      </c>
      <c r="G35" s="12">
        <f t="shared" si="16"/>
        <v>86403.069999999992</v>
      </c>
      <c r="H35" s="12">
        <v>637.9910000000034</v>
      </c>
      <c r="I35" s="12">
        <f t="shared" si="12"/>
        <v>287.22899999999663</v>
      </c>
      <c r="K35" s="84">
        <v>41518</v>
      </c>
      <c r="L35" s="12">
        <f t="shared" si="8"/>
        <v>837.11465319740523</v>
      </c>
      <c r="M35" s="12">
        <v>6.1824941612604301</v>
      </c>
      <c r="N35" s="12">
        <v>2.7775058387395708</v>
      </c>
      <c r="P35" s="84">
        <v>41518</v>
      </c>
      <c r="Q35" s="12">
        <f t="shared" si="9"/>
        <v>167387.29427737163</v>
      </c>
      <c r="R35" s="12">
        <f t="shared" si="13"/>
        <v>1233.3245227062093</v>
      </c>
      <c r="S35" s="12">
        <f t="shared" si="10"/>
        <v>561.72547729379062</v>
      </c>
      <c r="T35" s="85">
        <f t="shared" si="2"/>
        <v>33135.71801686765</v>
      </c>
      <c r="U35" s="85">
        <f t="shared" si="3"/>
        <v>14923.531983132349</v>
      </c>
      <c r="W35" s="85">
        <f t="shared" si="4"/>
        <v>33.135718016867649</v>
      </c>
      <c r="X35" s="85">
        <f t="shared" si="5"/>
        <v>14.923531983132349</v>
      </c>
    </row>
    <row r="36" spans="1:24">
      <c r="A36" s="84">
        <v>41548</v>
      </c>
      <c r="B36" s="12">
        <f t="shared" si="14"/>
        <v>4201942.6799999988</v>
      </c>
      <c r="C36" s="12">
        <v>31362.13000000019</v>
      </c>
      <c r="D36" s="12">
        <f t="shared" si="11"/>
        <v>13967.889999999807</v>
      </c>
      <c r="F36" s="84">
        <v>41548</v>
      </c>
      <c r="G36" s="12">
        <f t="shared" si="16"/>
        <v>85765.078999999983</v>
      </c>
      <c r="H36" s="12">
        <v>640.08900000000392</v>
      </c>
      <c r="I36" s="12">
        <f t="shared" si="12"/>
        <v>285.13099999999611</v>
      </c>
      <c r="K36" s="84">
        <v>41548</v>
      </c>
      <c r="L36" s="12">
        <f t="shared" si="8"/>
        <v>830.93215903614475</v>
      </c>
      <c r="M36" s="12">
        <v>6.2025941612604294</v>
      </c>
      <c r="N36" s="12">
        <v>2.7574058387395715</v>
      </c>
      <c r="P36" s="84">
        <v>41548</v>
      </c>
      <c r="Q36" s="12">
        <f t="shared" si="9"/>
        <v>166153.96975466542</v>
      </c>
      <c r="R36" s="12">
        <f t="shared" si="13"/>
        <v>1237.0645227062093</v>
      </c>
      <c r="S36" s="12">
        <f t="shared" si="10"/>
        <v>557.98547729379061</v>
      </c>
      <c r="T36" s="85">
        <f t="shared" si="2"/>
        <v>33245.486116867665</v>
      </c>
      <c r="U36" s="85">
        <f t="shared" si="3"/>
        <v>14813.763883132333</v>
      </c>
      <c r="W36" s="85">
        <f t="shared" si="4"/>
        <v>33.245486116867667</v>
      </c>
      <c r="X36" s="85">
        <f t="shared" si="5"/>
        <v>14.813763883132333</v>
      </c>
    </row>
    <row r="37" spans="1:24">
      <c r="A37" s="84">
        <v>41579</v>
      </c>
      <c r="B37" s="12">
        <f t="shared" si="14"/>
        <v>4170580.5499999984</v>
      </c>
      <c r="C37" s="12">
        <v>31466.380000000205</v>
      </c>
      <c r="D37" s="12">
        <f t="shared" si="11"/>
        <v>13863.639999999792</v>
      </c>
      <c r="F37" s="84">
        <v>41579</v>
      </c>
      <c r="G37" s="12">
        <f t="shared" si="16"/>
        <v>85124.989999999976</v>
      </c>
      <c r="H37" s="12">
        <v>642.19000000000449</v>
      </c>
      <c r="I37" s="12">
        <f t="shared" si="12"/>
        <v>283.02999999999554</v>
      </c>
      <c r="K37" s="84">
        <v>41579</v>
      </c>
      <c r="L37" s="12">
        <f t="shared" si="8"/>
        <v>824.72956487488432</v>
      </c>
      <c r="M37" s="12">
        <v>6.2226941612604287</v>
      </c>
      <c r="N37" s="12">
        <v>2.7373058387395721</v>
      </c>
      <c r="P37" s="84">
        <v>41579</v>
      </c>
      <c r="Q37" s="12">
        <f t="shared" si="9"/>
        <v>164916.90523195922</v>
      </c>
      <c r="R37" s="12">
        <f t="shared" si="13"/>
        <v>1240.8045227062094</v>
      </c>
      <c r="S37" s="12">
        <f t="shared" si="10"/>
        <v>554.2454772937906</v>
      </c>
      <c r="T37" s="85">
        <f t="shared" si="2"/>
        <v>33355.597216867682</v>
      </c>
      <c r="U37" s="85">
        <f t="shared" si="3"/>
        <v>14703.652783132318</v>
      </c>
      <c r="W37" s="85">
        <f t="shared" si="4"/>
        <v>33.355597216867679</v>
      </c>
      <c r="X37" s="85">
        <f t="shared" si="5"/>
        <v>14.703652783132318</v>
      </c>
    </row>
    <row r="38" spans="1:24">
      <c r="A38" s="84">
        <v>41609</v>
      </c>
      <c r="B38" s="12">
        <f t="shared" si="14"/>
        <v>4139114.1699999981</v>
      </c>
      <c r="C38" s="12">
        <v>31570.970000000219</v>
      </c>
      <c r="D38" s="12">
        <f t="shared" si="11"/>
        <v>13759.049999999777</v>
      </c>
      <c r="F38" s="84">
        <v>41609</v>
      </c>
      <c r="G38" s="12">
        <f t="shared" si="16"/>
        <v>84482.799999999974</v>
      </c>
      <c r="H38" s="12">
        <v>644.2940000000051</v>
      </c>
      <c r="I38" s="12">
        <f t="shared" si="12"/>
        <v>280.92599999999493</v>
      </c>
      <c r="K38" s="84">
        <v>41609</v>
      </c>
      <c r="L38" s="12">
        <f t="shared" si="8"/>
        <v>818.50687071362393</v>
      </c>
      <c r="M38" s="12">
        <v>6.2427941612604281</v>
      </c>
      <c r="N38" s="12">
        <v>2.7172058387395728</v>
      </c>
      <c r="P38" s="84">
        <v>41609</v>
      </c>
      <c r="Q38" s="12">
        <f t="shared" si="9"/>
        <v>163676.10070925302</v>
      </c>
      <c r="R38" s="12">
        <f t="shared" si="13"/>
        <v>1244.5445227062094</v>
      </c>
      <c r="S38" s="12">
        <f t="shared" si="10"/>
        <v>550.50547729379059</v>
      </c>
      <c r="T38" s="85">
        <f t="shared" si="2"/>
        <v>33466.051316867692</v>
      </c>
      <c r="U38" s="85">
        <f t="shared" si="3"/>
        <v>14593.198683132303</v>
      </c>
      <c r="W38" s="85">
        <f t="shared" si="4"/>
        <v>33.466051316867691</v>
      </c>
      <c r="X38" s="85">
        <f t="shared" si="5"/>
        <v>14.593198683132304</v>
      </c>
    </row>
    <row r="39" spans="1:24">
      <c r="A39" s="84">
        <v>41640</v>
      </c>
      <c r="B39" s="12">
        <f t="shared" si="14"/>
        <v>4107543.1999999979</v>
      </c>
      <c r="C39" s="12">
        <v>31675.900000000234</v>
      </c>
      <c r="D39" s="12">
        <f t="shared" si="11"/>
        <v>13654.119999999763</v>
      </c>
      <c r="F39" s="84">
        <v>41640</v>
      </c>
      <c r="G39" s="12">
        <f t="shared" si="16"/>
        <v>83838.505999999965</v>
      </c>
      <c r="H39" s="12">
        <v>646.40100000000575</v>
      </c>
      <c r="I39" s="12">
        <f t="shared" si="12"/>
        <v>278.81899999999428</v>
      </c>
      <c r="K39" s="84">
        <v>41640</v>
      </c>
      <c r="L39" s="12">
        <f t="shared" si="8"/>
        <v>812.26407655236346</v>
      </c>
      <c r="M39" s="12">
        <v>6.2628941612604274</v>
      </c>
      <c r="N39" s="12">
        <v>2.6971058387395734</v>
      </c>
      <c r="P39" s="84">
        <v>41640</v>
      </c>
      <c r="Q39" s="12">
        <f t="shared" si="9"/>
        <v>162431.5561865468</v>
      </c>
      <c r="R39" s="12">
        <f t="shared" si="13"/>
        <v>1248.2845227062094</v>
      </c>
      <c r="S39" s="12">
        <f t="shared" si="10"/>
        <v>546.76547729379058</v>
      </c>
      <c r="T39" s="85">
        <f t="shared" si="2"/>
        <v>33576.84841686771</v>
      </c>
      <c r="U39" s="85">
        <f t="shared" si="3"/>
        <v>14482.401583132287</v>
      </c>
      <c r="W39" s="85">
        <f t="shared" si="4"/>
        <v>33.576848416867712</v>
      </c>
      <c r="X39" s="85">
        <f t="shared" si="5"/>
        <v>14.482401583132287</v>
      </c>
    </row>
    <row r="40" spans="1:24">
      <c r="A40" s="84">
        <v>41671</v>
      </c>
      <c r="B40" s="12">
        <f t="shared" si="14"/>
        <v>4075867.2999999975</v>
      </c>
      <c r="C40" s="12">
        <v>31781.180000000248</v>
      </c>
      <c r="D40" s="12">
        <f t="shared" si="11"/>
        <v>13548.839999999749</v>
      </c>
      <c r="F40" s="84">
        <v>41671</v>
      </c>
      <c r="G40" s="12">
        <f t="shared" si="16"/>
        <v>83192.104999999952</v>
      </c>
      <c r="H40" s="12">
        <v>648.52800000000639</v>
      </c>
      <c r="I40" s="12">
        <f t="shared" si="12"/>
        <v>276.69199999999364</v>
      </c>
      <c r="K40" s="84">
        <v>41671</v>
      </c>
      <c r="L40" s="12">
        <f t="shared" si="8"/>
        <v>806.00118239110304</v>
      </c>
      <c r="M40" s="12">
        <v>6.2829941612604268</v>
      </c>
      <c r="N40" s="12">
        <v>2.6770058387395741</v>
      </c>
      <c r="P40" s="84">
        <v>41671</v>
      </c>
      <c r="Q40" s="12">
        <f t="shared" si="9"/>
        <v>161183.2716638406</v>
      </c>
      <c r="R40" s="12">
        <f t="shared" si="13"/>
        <v>1252.0245227062094</v>
      </c>
      <c r="S40" s="12">
        <f t="shared" si="10"/>
        <v>543.02547729379057</v>
      </c>
      <c r="T40" s="85">
        <f t="shared" si="2"/>
        <v>33688.015516867723</v>
      </c>
      <c r="U40" s="85">
        <f t="shared" si="3"/>
        <v>14371.234483132273</v>
      </c>
      <c r="W40" s="85">
        <f t="shared" si="4"/>
        <v>33.688015516867722</v>
      </c>
      <c r="X40" s="85">
        <f t="shared" si="5"/>
        <v>14.371234483132273</v>
      </c>
    </row>
    <row r="41" spans="1:24">
      <c r="A41" s="84">
        <v>41699</v>
      </c>
      <c r="B41" s="12">
        <f t="shared" si="14"/>
        <v>4044086.1199999973</v>
      </c>
      <c r="C41" s="12">
        <v>31886.81000000026</v>
      </c>
      <c r="D41" s="12">
        <f t="shared" si="11"/>
        <v>13443.209999999737</v>
      </c>
      <c r="F41" s="84">
        <v>41699</v>
      </c>
      <c r="G41" s="12">
        <f t="shared" si="16"/>
        <v>82543.576999999947</v>
      </c>
      <c r="H41" s="12">
        <v>650.675000000007</v>
      </c>
      <c r="I41" s="12">
        <f t="shared" si="12"/>
        <v>274.54499999999302</v>
      </c>
      <c r="K41" s="84">
        <v>41699</v>
      </c>
      <c r="L41" s="12">
        <f t="shared" si="8"/>
        <v>799.71818822984267</v>
      </c>
      <c r="M41" s="12">
        <v>6.3030941612604261</v>
      </c>
      <c r="N41" s="12">
        <v>2.6569058387395748</v>
      </c>
      <c r="P41" s="84">
        <v>41699</v>
      </c>
      <c r="Q41" s="12">
        <f t="shared" si="9"/>
        <v>159931.2471411344</v>
      </c>
      <c r="R41" s="12">
        <f t="shared" si="13"/>
        <v>1255.7645227062094</v>
      </c>
      <c r="S41" s="12">
        <f t="shared" si="10"/>
        <v>539.28547729379056</v>
      </c>
      <c r="T41" s="85">
        <f t="shared" si="2"/>
        <v>33799.552616867739</v>
      </c>
      <c r="U41" s="85">
        <f t="shared" si="3"/>
        <v>14259.697383132261</v>
      </c>
      <c r="W41" s="85">
        <f t="shared" si="4"/>
        <v>33.799552616867736</v>
      </c>
      <c r="X41" s="85">
        <f t="shared" si="5"/>
        <v>14.259697383132261</v>
      </c>
    </row>
    <row r="42" spans="1:24">
      <c r="A42" s="84">
        <v>41730</v>
      </c>
      <c r="B42" s="12">
        <f t="shared" si="14"/>
        <v>4012199.3099999973</v>
      </c>
      <c r="C42" s="12">
        <v>31992.79000000027</v>
      </c>
      <c r="D42" s="12">
        <f t="shared" si="11"/>
        <v>13337.229999999727</v>
      </c>
      <c r="F42" s="84">
        <v>41730</v>
      </c>
      <c r="G42" s="12">
        <f t="shared" si="16"/>
        <v>81892.901999999944</v>
      </c>
      <c r="H42" s="12">
        <v>652.8420000000076</v>
      </c>
      <c r="I42" s="12">
        <f t="shared" si="12"/>
        <v>272.37799999999243</v>
      </c>
      <c r="K42" s="84">
        <v>41730</v>
      </c>
      <c r="L42" s="12">
        <f t="shared" si="8"/>
        <v>793.41509406858222</v>
      </c>
      <c r="M42" s="12">
        <v>6.3231941612604254</v>
      </c>
      <c r="N42" s="12">
        <v>2.6368058387395754</v>
      </c>
      <c r="P42" s="84">
        <v>41730</v>
      </c>
      <c r="Q42" s="12">
        <f t="shared" si="9"/>
        <v>158675.48261842818</v>
      </c>
      <c r="R42" s="12">
        <f t="shared" si="13"/>
        <v>1259.5045227062094</v>
      </c>
      <c r="S42" s="12">
        <f t="shared" si="10"/>
        <v>535.54547729379055</v>
      </c>
      <c r="T42" s="85">
        <f t="shared" si="2"/>
        <v>33911.45971686775</v>
      </c>
      <c r="U42" s="85">
        <f t="shared" si="3"/>
        <v>14147.79028313225</v>
      </c>
      <c r="W42" s="85">
        <f t="shared" si="4"/>
        <v>33.911459716867753</v>
      </c>
      <c r="X42" s="85">
        <f t="shared" si="5"/>
        <v>14.147790283132251</v>
      </c>
    </row>
    <row r="43" spans="1:24">
      <c r="A43" s="84">
        <v>41760</v>
      </c>
      <c r="B43" s="12">
        <f t="shared" si="14"/>
        <v>3980206.5199999968</v>
      </c>
      <c r="C43" s="12">
        <v>32099.120000000279</v>
      </c>
      <c r="D43" s="12">
        <f t="shared" si="11"/>
        <v>13230.899999999718</v>
      </c>
      <c r="F43" s="84">
        <v>41760</v>
      </c>
      <c r="G43" s="12">
        <f t="shared" si="16"/>
        <v>81240.059999999939</v>
      </c>
      <c r="H43" s="12">
        <v>655.02900000000818</v>
      </c>
      <c r="I43" s="12">
        <f t="shared" si="12"/>
        <v>270.19099999999185</v>
      </c>
      <c r="K43" s="84">
        <v>41760</v>
      </c>
      <c r="L43" s="12">
        <f t="shared" si="8"/>
        <v>787.09189990732182</v>
      </c>
      <c r="M43" s="12">
        <v>6.3432941612604248</v>
      </c>
      <c r="N43" s="12">
        <v>2.6167058387395761</v>
      </c>
      <c r="P43" s="84">
        <v>41760</v>
      </c>
      <c r="Q43" s="12">
        <f t="shared" si="9"/>
        <v>157415.97809572198</v>
      </c>
      <c r="R43" s="12">
        <f t="shared" si="13"/>
        <v>1263.2445227062094</v>
      </c>
      <c r="S43" s="12">
        <f t="shared" si="10"/>
        <v>531.80547729379055</v>
      </c>
      <c r="T43" s="85">
        <f t="shared" si="2"/>
        <v>34023.736816867757</v>
      </c>
      <c r="U43" s="85">
        <f t="shared" si="3"/>
        <v>14035.51318313224</v>
      </c>
      <c r="W43" s="85">
        <f t="shared" si="4"/>
        <v>34.023736816867753</v>
      </c>
      <c r="X43" s="85">
        <f t="shared" si="5"/>
        <v>14.03551318313224</v>
      </c>
    </row>
    <row r="44" spans="1:24">
      <c r="A44" s="84">
        <v>41791</v>
      </c>
      <c r="B44" s="12">
        <f t="shared" si="14"/>
        <v>3948107.3999999966</v>
      </c>
      <c r="C44" s="12">
        <v>32205.800000000287</v>
      </c>
      <c r="D44" s="12">
        <f t="shared" si="11"/>
        <v>13124.21999999971</v>
      </c>
      <c r="F44" s="84">
        <v>41791</v>
      </c>
      <c r="G44" s="12">
        <f t="shared" si="16"/>
        <v>80585.03099999993</v>
      </c>
      <c r="H44" s="12">
        <v>657.23600000000874</v>
      </c>
      <c r="I44" s="12">
        <f t="shared" si="12"/>
        <v>267.98399999999128</v>
      </c>
      <c r="K44" s="84">
        <v>41791</v>
      </c>
      <c r="L44" s="12">
        <f t="shared" si="8"/>
        <v>780.74860574606134</v>
      </c>
      <c r="M44" s="12">
        <v>6.3633941612604241</v>
      </c>
      <c r="N44" s="12">
        <v>2.5966058387395767</v>
      </c>
      <c r="P44" s="84">
        <v>41791</v>
      </c>
      <c r="Q44" s="12">
        <f t="shared" si="9"/>
        <v>156152.73357301578</v>
      </c>
      <c r="R44" s="12">
        <f t="shared" si="13"/>
        <v>1266.9845227062094</v>
      </c>
      <c r="S44" s="12">
        <f t="shared" si="10"/>
        <v>528.06547729379054</v>
      </c>
      <c r="T44" s="85">
        <f t="shared" si="2"/>
        <v>34136.383916867766</v>
      </c>
      <c r="U44" s="85">
        <f t="shared" si="3"/>
        <v>13922.866083132232</v>
      </c>
      <c r="W44" s="85">
        <f t="shared" si="4"/>
        <v>34.136383916867764</v>
      </c>
      <c r="X44" s="85">
        <f t="shared" si="5"/>
        <v>13.922866083132233</v>
      </c>
    </row>
    <row r="45" spans="1:24">
      <c r="A45" s="84">
        <v>41821</v>
      </c>
      <c r="B45" s="12">
        <f t="shared" si="14"/>
        <v>3915901.5999999964</v>
      </c>
      <c r="C45" s="12">
        <v>32312.830000000293</v>
      </c>
      <c r="D45" s="12">
        <f t="shared" si="11"/>
        <v>13017.189999999704</v>
      </c>
      <c r="F45" s="84">
        <v>41821</v>
      </c>
      <c r="G45" s="12">
        <f t="shared" si="16"/>
        <v>79927.794999999925</v>
      </c>
      <c r="H45" s="12">
        <v>659.46300000000929</v>
      </c>
      <c r="I45" s="12">
        <f t="shared" si="12"/>
        <v>265.75699999999074</v>
      </c>
      <c r="K45" s="84">
        <v>41821</v>
      </c>
      <c r="L45" s="12">
        <f t="shared" si="8"/>
        <v>774.38521158480091</v>
      </c>
      <c r="M45" s="12">
        <v>6.3834941612604235</v>
      </c>
      <c r="N45" s="12">
        <v>2.5765058387395774</v>
      </c>
      <c r="P45" s="84">
        <v>41821</v>
      </c>
      <c r="Q45" s="12">
        <f t="shared" si="9"/>
        <v>154885.74905030956</v>
      </c>
      <c r="R45" s="12">
        <f t="shared" si="13"/>
        <v>1270.7245227062094</v>
      </c>
      <c r="S45" s="12">
        <f t="shared" si="10"/>
        <v>524.32547729379053</v>
      </c>
      <c r="T45" s="85">
        <f t="shared" si="2"/>
        <v>34249.401016867771</v>
      </c>
      <c r="U45" s="85">
        <f t="shared" si="3"/>
        <v>13809.848983132224</v>
      </c>
      <c r="W45" s="85">
        <f t="shared" si="4"/>
        <v>34.249401016867772</v>
      </c>
      <c r="X45" s="85">
        <f t="shared" si="5"/>
        <v>13.809848983132223</v>
      </c>
    </row>
    <row r="46" spans="1:24">
      <c r="A46" s="84">
        <v>41852</v>
      </c>
      <c r="B46" s="12">
        <f t="shared" si="14"/>
        <v>3883588.7699999963</v>
      </c>
      <c r="C46" s="12">
        <v>32420.210000000297</v>
      </c>
      <c r="D46" s="12">
        <f t="shared" si="11"/>
        <v>12909.809999999699</v>
      </c>
      <c r="F46" s="84">
        <v>41852</v>
      </c>
      <c r="G46" s="12">
        <f t="shared" si="16"/>
        <v>79268.331999999922</v>
      </c>
      <c r="H46" s="12">
        <v>661.71000000000981</v>
      </c>
      <c r="I46" s="12">
        <f t="shared" si="12"/>
        <v>263.50999999999021</v>
      </c>
      <c r="K46" s="84">
        <v>41852</v>
      </c>
      <c r="L46" s="12">
        <f t="shared" si="8"/>
        <v>768.00171742354053</v>
      </c>
      <c r="M46" s="12">
        <v>6.4035941612604228</v>
      </c>
      <c r="N46" s="12">
        <v>2.5564058387395781</v>
      </c>
      <c r="P46" s="84">
        <v>41852</v>
      </c>
      <c r="Q46" s="12">
        <f t="shared" si="9"/>
        <v>153615.02452760335</v>
      </c>
      <c r="R46" s="12">
        <f t="shared" si="13"/>
        <v>1274.4645227062094</v>
      </c>
      <c r="S46" s="12">
        <f t="shared" si="10"/>
        <v>520.58547729379052</v>
      </c>
      <c r="T46" s="85">
        <f t="shared" si="2"/>
        <v>34362.788116867778</v>
      </c>
      <c r="U46" s="85">
        <f t="shared" si="3"/>
        <v>13696.46188313222</v>
      </c>
      <c r="W46" s="85">
        <f t="shared" si="4"/>
        <v>34.362788116867776</v>
      </c>
      <c r="X46" s="85">
        <f t="shared" si="5"/>
        <v>13.696461883132221</v>
      </c>
    </row>
    <row r="47" spans="1:24">
      <c r="A47" s="84">
        <v>41883</v>
      </c>
      <c r="B47" s="12">
        <f t="shared" si="14"/>
        <v>3851168.5599999959</v>
      </c>
      <c r="C47" s="12">
        <v>32527.940000000301</v>
      </c>
      <c r="D47" s="12">
        <f t="shared" si="11"/>
        <v>12802.079999999696</v>
      </c>
      <c r="F47" s="84">
        <v>41883</v>
      </c>
      <c r="G47" s="12">
        <f t="shared" si="16"/>
        <v>78606.621999999916</v>
      </c>
      <c r="H47" s="12">
        <v>663.97700000001032</v>
      </c>
      <c r="I47" s="12">
        <f t="shared" si="12"/>
        <v>261.24299999998971</v>
      </c>
      <c r="K47" s="84">
        <v>41883</v>
      </c>
      <c r="L47" s="12">
        <f t="shared" si="8"/>
        <v>761.59812326228007</v>
      </c>
      <c r="M47" s="12">
        <v>6.4236941612604221</v>
      </c>
      <c r="N47" s="12">
        <v>2.5363058387395787</v>
      </c>
      <c r="P47" s="84">
        <v>41883</v>
      </c>
      <c r="Q47" s="12">
        <f t="shared" si="9"/>
        <v>152340.56000489715</v>
      </c>
      <c r="R47" s="12">
        <f t="shared" si="13"/>
        <v>1278.2045227062094</v>
      </c>
      <c r="S47" s="12">
        <f t="shared" si="10"/>
        <v>516.84547729379051</v>
      </c>
      <c r="T47" s="85">
        <f t="shared" si="2"/>
        <v>34476.54521686778</v>
      </c>
      <c r="U47" s="85">
        <f t="shared" si="3"/>
        <v>13582.704783132216</v>
      </c>
      <c r="W47" s="85">
        <f t="shared" si="4"/>
        <v>34.476545216867777</v>
      </c>
      <c r="X47" s="85">
        <f t="shared" si="5"/>
        <v>13.582704783132217</v>
      </c>
    </row>
    <row r="48" spans="1:24">
      <c r="A48" s="84">
        <v>41913</v>
      </c>
      <c r="B48" s="12">
        <f t="shared" si="14"/>
        <v>3818640.6199999955</v>
      </c>
      <c r="C48" s="12">
        <v>32636.020000000302</v>
      </c>
      <c r="D48" s="12">
        <f t="shared" si="11"/>
        <v>12693.999999999694</v>
      </c>
      <c r="F48" s="84">
        <v>41913</v>
      </c>
      <c r="G48" s="12">
        <f t="shared" si="16"/>
        <v>77942.644999999902</v>
      </c>
      <c r="H48" s="12">
        <v>666.26400000001081</v>
      </c>
      <c r="I48" s="12">
        <f t="shared" si="12"/>
        <v>258.95599999998922</v>
      </c>
      <c r="K48" s="84">
        <v>41913</v>
      </c>
      <c r="L48" s="12">
        <f t="shared" si="8"/>
        <v>755.17442910101965</v>
      </c>
      <c r="M48" s="12">
        <v>6.4437941612604215</v>
      </c>
      <c r="N48" s="12">
        <v>2.5162058387395794</v>
      </c>
      <c r="P48" s="84">
        <v>41913</v>
      </c>
      <c r="Q48" s="12">
        <f t="shared" si="9"/>
        <v>151062.35548219093</v>
      </c>
      <c r="R48" s="12">
        <f t="shared" si="13"/>
        <v>1281.9445227062095</v>
      </c>
      <c r="S48" s="12">
        <f t="shared" si="10"/>
        <v>513.1054772937905</v>
      </c>
      <c r="T48" s="85">
        <f t="shared" si="2"/>
        <v>34590.672316867785</v>
      </c>
      <c r="U48" s="85">
        <f t="shared" si="3"/>
        <v>13468.577683132215</v>
      </c>
      <c r="W48" s="85">
        <f t="shared" si="4"/>
        <v>34.590672316867789</v>
      </c>
      <c r="X48" s="85">
        <f t="shared" si="5"/>
        <v>13.468577683132214</v>
      </c>
    </row>
    <row r="49" spans="1:24">
      <c r="A49" s="84">
        <v>41944</v>
      </c>
      <c r="B49" s="12">
        <f t="shared" si="14"/>
        <v>3786004.599999995</v>
      </c>
      <c r="C49" s="12">
        <v>32744.450000000303</v>
      </c>
      <c r="D49" s="12">
        <f t="shared" si="11"/>
        <v>12585.569999999694</v>
      </c>
      <c r="F49" s="84">
        <v>41944</v>
      </c>
      <c r="G49" s="12">
        <f t="shared" si="16"/>
        <v>77276.380999999892</v>
      </c>
      <c r="H49" s="12">
        <v>668.57100000001128</v>
      </c>
      <c r="I49" s="12">
        <f t="shared" si="12"/>
        <v>256.64899999998875</v>
      </c>
      <c r="K49" s="84">
        <v>41944</v>
      </c>
      <c r="L49" s="12">
        <f t="shared" si="8"/>
        <v>748.73063493975928</v>
      </c>
      <c r="M49" s="12">
        <v>6.4638941612604208</v>
      </c>
      <c r="N49" s="12">
        <v>2.49610583873958</v>
      </c>
      <c r="P49" s="84">
        <v>41944</v>
      </c>
      <c r="Q49" s="12">
        <f t="shared" si="9"/>
        <v>149780.41095948473</v>
      </c>
      <c r="R49" s="12">
        <f t="shared" si="13"/>
        <v>1285.6845227062095</v>
      </c>
      <c r="S49" s="12">
        <f t="shared" si="10"/>
        <v>509.36547729379049</v>
      </c>
      <c r="T49" s="85">
        <f t="shared" si="2"/>
        <v>34705.169416867786</v>
      </c>
      <c r="U49" s="85">
        <f t="shared" si="3"/>
        <v>13354.080583132212</v>
      </c>
      <c r="W49" s="85">
        <f t="shared" si="4"/>
        <v>34.705169416867783</v>
      </c>
      <c r="X49" s="85">
        <f t="shared" si="5"/>
        <v>13.354080583132212</v>
      </c>
    </row>
    <row r="50" spans="1:24">
      <c r="A50" s="84">
        <v>41974</v>
      </c>
      <c r="B50" s="12">
        <f t="shared" si="14"/>
        <v>3753260.1499999948</v>
      </c>
      <c r="C50" s="12">
        <v>32853.230000000302</v>
      </c>
      <c r="D50" s="12">
        <f t="shared" si="11"/>
        <v>12476.789999999695</v>
      </c>
      <c r="F50" s="84">
        <v>41974</v>
      </c>
      <c r="G50" s="12">
        <f t="shared" si="16"/>
        <v>76607.809999999881</v>
      </c>
      <c r="H50" s="12">
        <v>670.89800000001173</v>
      </c>
      <c r="I50" s="12">
        <f t="shared" si="12"/>
        <v>254.32199999998829</v>
      </c>
      <c r="K50" s="84">
        <v>41974</v>
      </c>
      <c r="L50" s="12">
        <f t="shared" si="8"/>
        <v>742.26674077849884</v>
      </c>
      <c r="M50" s="12">
        <v>6.4839941612604202</v>
      </c>
      <c r="N50" s="12">
        <v>2.4760058387395807</v>
      </c>
      <c r="P50" s="84">
        <v>41974</v>
      </c>
      <c r="Q50" s="12">
        <f t="shared" si="9"/>
        <v>148494.72643677852</v>
      </c>
      <c r="R50" s="12">
        <f t="shared" si="13"/>
        <v>1289.4245227062095</v>
      </c>
      <c r="S50" s="12">
        <f t="shared" si="10"/>
        <v>505.62547729379048</v>
      </c>
      <c r="T50" s="85">
        <f t="shared" si="2"/>
        <v>34820.036516867782</v>
      </c>
      <c r="U50" s="85">
        <f t="shared" si="3"/>
        <v>13239.213483132215</v>
      </c>
      <c r="W50" s="85">
        <f t="shared" si="4"/>
        <v>34.820036516867781</v>
      </c>
      <c r="X50" s="85">
        <f t="shared" si="5"/>
        <v>13.239213483132215</v>
      </c>
    </row>
    <row r="51" spans="1:24">
      <c r="A51" s="84">
        <v>42005</v>
      </c>
      <c r="B51" s="12">
        <f t="shared" si="14"/>
        <v>3720406.9199999943</v>
      </c>
      <c r="C51" s="12">
        <v>32962.769999999997</v>
      </c>
      <c r="D51" s="12">
        <f t="shared" si="11"/>
        <v>12367.25</v>
      </c>
      <c r="F51" s="84">
        <v>42005</v>
      </c>
      <c r="G51" s="12">
        <f t="shared" si="16"/>
        <v>75936.911999999866</v>
      </c>
      <c r="H51" s="12">
        <v>673.24500000001217</v>
      </c>
      <c r="I51" s="12">
        <f t="shared" si="12"/>
        <v>251.97499999998786</v>
      </c>
      <c r="K51" s="84">
        <v>42005</v>
      </c>
      <c r="L51" s="12">
        <f t="shared" si="8"/>
        <v>735.78274661723844</v>
      </c>
      <c r="M51" s="12">
        <v>6.5040941612604195</v>
      </c>
      <c r="N51" s="12">
        <v>2.4559058387395813</v>
      </c>
      <c r="P51" s="84">
        <v>42005</v>
      </c>
      <c r="Q51" s="12">
        <f t="shared" si="9"/>
        <v>147205.3019140723</v>
      </c>
      <c r="R51" s="12">
        <f t="shared" si="13"/>
        <v>1293.1645227062095</v>
      </c>
      <c r="S51" s="12">
        <f t="shared" si="10"/>
        <v>501.88547729379047</v>
      </c>
      <c r="T51" s="85">
        <f t="shared" si="2"/>
        <v>34935.683616867478</v>
      </c>
      <c r="U51" s="85">
        <f t="shared" si="3"/>
        <v>13123.566383132518</v>
      </c>
      <c r="W51" s="85">
        <f t="shared" si="4"/>
        <v>34.935683616867479</v>
      </c>
      <c r="X51" s="85">
        <f t="shared" si="5"/>
        <v>13.123566383132518</v>
      </c>
    </row>
    <row r="52" spans="1:24">
      <c r="A52" s="84">
        <v>42036</v>
      </c>
      <c r="B52" s="12">
        <f t="shared" si="14"/>
        <v>3687444.1499999943</v>
      </c>
      <c r="C52" s="12">
        <v>33072.339999999997</v>
      </c>
      <c r="D52" s="12">
        <f t="shared" si="11"/>
        <v>12257.68</v>
      </c>
      <c r="F52" s="84">
        <v>42036</v>
      </c>
      <c r="G52" s="12">
        <f t="shared" si="16"/>
        <v>75263.666999999856</v>
      </c>
      <c r="H52" s="12">
        <v>675.03</v>
      </c>
      <c r="I52" s="12">
        <f t="shared" si="12"/>
        <v>250.19000000000005</v>
      </c>
      <c r="K52" s="84">
        <v>42036</v>
      </c>
      <c r="L52" s="12">
        <f t="shared" si="8"/>
        <v>729.27865245597798</v>
      </c>
      <c r="M52" s="12">
        <v>6.5280941612604186</v>
      </c>
      <c r="N52" s="12">
        <v>2.4319058387395822</v>
      </c>
      <c r="P52" s="84">
        <v>42036</v>
      </c>
      <c r="Q52" s="12">
        <f t="shared" si="9"/>
        <v>145912.13739136609</v>
      </c>
      <c r="R52" s="12">
        <f t="shared" si="13"/>
        <v>1296.9045227062095</v>
      </c>
      <c r="S52" s="12">
        <f t="shared" si="10"/>
        <v>498.14547729379046</v>
      </c>
      <c r="T52" s="85">
        <f t="shared" si="2"/>
        <v>35050.80261686747</v>
      </c>
      <c r="U52" s="85">
        <f t="shared" si="3"/>
        <v>13008.44738313253</v>
      </c>
      <c r="W52" s="85">
        <f t="shared" si="4"/>
        <v>35.050802616867472</v>
      </c>
      <c r="X52" s="85">
        <f t="shared" si="5"/>
        <v>13.00844738313253</v>
      </c>
    </row>
    <row r="53" spans="1:24">
      <c r="A53" s="84">
        <v>42064</v>
      </c>
      <c r="B53" s="12">
        <f t="shared" si="14"/>
        <v>3654371.8099999945</v>
      </c>
      <c r="C53" s="12">
        <v>33182.28</v>
      </c>
      <c r="D53" s="12">
        <f t="shared" si="11"/>
        <v>12147.739999999998</v>
      </c>
      <c r="F53" s="84">
        <v>42064</v>
      </c>
      <c r="G53" s="12">
        <f t="shared" si="16"/>
        <v>74588.636999999857</v>
      </c>
      <c r="H53" s="12">
        <v>676.81499999998778</v>
      </c>
      <c r="I53" s="12">
        <f t="shared" si="12"/>
        <v>248.40500000001225</v>
      </c>
      <c r="K53" s="84">
        <v>42064</v>
      </c>
      <c r="L53" s="12">
        <f t="shared" si="8"/>
        <v>722.75055829471751</v>
      </c>
      <c r="M53" s="12">
        <v>6.5520941612604178</v>
      </c>
      <c r="N53" s="12">
        <v>2.4079058387395831</v>
      </c>
      <c r="P53" s="84">
        <v>42064</v>
      </c>
      <c r="Q53" s="12">
        <f t="shared" si="9"/>
        <v>144615.23286865989</v>
      </c>
      <c r="R53" s="12">
        <f t="shared" si="13"/>
        <v>1300.6445227062095</v>
      </c>
      <c r="S53" s="12">
        <f t="shared" si="10"/>
        <v>494.40547729379045</v>
      </c>
      <c r="T53" s="85">
        <f t="shared" si="2"/>
        <v>35166.291616867456</v>
      </c>
      <c r="U53" s="85">
        <f t="shared" si="3"/>
        <v>12892.95838313254</v>
      </c>
      <c r="W53" s="85">
        <f t="shared" si="4"/>
        <v>35.166291616867454</v>
      </c>
      <c r="X53" s="85">
        <f t="shared" si="5"/>
        <v>12.892958383132539</v>
      </c>
    </row>
    <row r="54" spans="1:24">
      <c r="A54" s="84">
        <v>42095</v>
      </c>
      <c r="B54" s="12">
        <f t="shared" si="14"/>
        <v>3621189.5299999947</v>
      </c>
      <c r="C54" s="12">
        <v>33292.590000000004</v>
      </c>
      <c r="D54" s="12">
        <f t="shared" si="11"/>
        <v>12037.429999999993</v>
      </c>
      <c r="F54" s="84">
        <v>42095</v>
      </c>
      <c r="G54" s="12">
        <f t="shared" si="16"/>
        <v>73911.821999999869</v>
      </c>
      <c r="H54" s="12">
        <v>678.59999999997558</v>
      </c>
      <c r="I54" s="12">
        <f t="shared" si="12"/>
        <v>246.62000000002445</v>
      </c>
      <c r="K54" s="84">
        <v>42095</v>
      </c>
      <c r="L54" s="12">
        <f t="shared" si="8"/>
        <v>716.19846413345704</v>
      </c>
      <c r="M54" s="12">
        <v>6.5760941612604169</v>
      </c>
      <c r="N54" s="12">
        <v>2.3839058387395839</v>
      </c>
      <c r="P54" s="84">
        <v>42095</v>
      </c>
      <c r="Q54" s="12">
        <f t="shared" si="9"/>
        <v>143314.58834595367</v>
      </c>
      <c r="R54" s="12">
        <f t="shared" si="13"/>
        <v>1304.3845227062095</v>
      </c>
      <c r="S54" s="12">
        <f t="shared" si="10"/>
        <v>490.66547729379045</v>
      </c>
      <c r="T54" s="85">
        <f t="shared" si="2"/>
        <v>35282.150616867446</v>
      </c>
      <c r="U54" s="85">
        <f t="shared" si="3"/>
        <v>12777.099383132547</v>
      </c>
      <c r="W54" s="85">
        <f t="shared" si="4"/>
        <v>35.282150616867447</v>
      </c>
      <c r="X54" s="85">
        <f t="shared" si="5"/>
        <v>12.777099383132548</v>
      </c>
    </row>
    <row r="55" spans="1:24">
      <c r="A55" s="84">
        <v>42125</v>
      </c>
      <c r="B55" s="12">
        <f t="shared" si="14"/>
        <v>3587896.9399999948</v>
      </c>
      <c r="C55" s="12">
        <v>33403.270000000011</v>
      </c>
      <c r="D55" s="12">
        <f t="shared" si="11"/>
        <v>11926.749999999985</v>
      </c>
      <c r="F55" s="84">
        <v>42125</v>
      </c>
      <c r="G55" s="12">
        <f t="shared" si="16"/>
        <v>73233.221999999892</v>
      </c>
      <c r="H55" s="12">
        <v>680.94699999997601</v>
      </c>
      <c r="I55" s="12">
        <f t="shared" si="12"/>
        <v>244.27300000002401</v>
      </c>
      <c r="K55" s="84">
        <v>42125</v>
      </c>
      <c r="L55" s="12">
        <f t="shared" si="8"/>
        <v>709.62236997219657</v>
      </c>
      <c r="M55" s="12">
        <v>6.600094161260416</v>
      </c>
      <c r="N55" s="12">
        <v>2.3599058387395848</v>
      </c>
      <c r="P55" s="84">
        <v>42125</v>
      </c>
      <c r="Q55" s="12">
        <f t="shared" si="9"/>
        <v>142010.20382324746</v>
      </c>
      <c r="R55" s="12">
        <f t="shared" si="13"/>
        <v>1308.1245227062095</v>
      </c>
      <c r="S55" s="12">
        <f t="shared" si="10"/>
        <v>486.92547729379044</v>
      </c>
      <c r="T55" s="85">
        <f t="shared" si="2"/>
        <v>35398.941616867458</v>
      </c>
      <c r="U55" s="85">
        <f t="shared" si="3"/>
        <v>12660.30838313254</v>
      </c>
      <c r="W55" s="85">
        <f t="shared" si="4"/>
        <v>35.398941616867461</v>
      </c>
      <c r="X55" s="85">
        <f t="shared" si="5"/>
        <v>12.66030838313254</v>
      </c>
    </row>
    <row r="56" spans="1:24">
      <c r="A56" s="84">
        <v>42156</v>
      </c>
      <c r="B56" s="12">
        <f t="shared" si="14"/>
        <v>3554493.6699999948</v>
      </c>
      <c r="C56" s="12">
        <v>33514.320000000022</v>
      </c>
      <c r="D56" s="12">
        <f t="shared" si="11"/>
        <v>11815.699999999975</v>
      </c>
      <c r="F56" s="84">
        <v>42156</v>
      </c>
      <c r="G56" s="12">
        <f t="shared" si="16"/>
        <v>72552.274999999921</v>
      </c>
      <c r="H56" s="12">
        <v>683.34699999997599</v>
      </c>
      <c r="I56" s="12">
        <f t="shared" si="12"/>
        <v>241.87300000002404</v>
      </c>
      <c r="K56" s="84">
        <v>42156</v>
      </c>
      <c r="L56" s="12">
        <f t="shared" si="8"/>
        <v>703.02227581093609</v>
      </c>
      <c r="M56" s="12">
        <v>6.6240941612604152</v>
      </c>
      <c r="N56" s="12">
        <v>2.3359058387395857</v>
      </c>
      <c r="P56" s="84">
        <v>42156</v>
      </c>
      <c r="Q56" s="12">
        <f t="shared" si="9"/>
        <v>140702.07930054126</v>
      </c>
      <c r="R56" s="12">
        <f t="shared" si="13"/>
        <v>1311.8645227062095</v>
      </c>
      <c r="S56" s="12">
        <f t="shared" si="10"/>
        <v>483.18547729379043</v>
      </c>
      <c r="T56" s="85">
        <f t="shared" si="2"/>
        <v>35516.155616867465</v>
      </c>
      <c r="U56" s="85">
        <f t="shared" si="3"/>
        <v>12543.094383132529</v>
      </c>
      <c r="W56" s="85">
        <f t="shared" si="4"/>
        <v>35.516155616867465</v>
      </c>
      <c r="X56" s="85">
        <f t="shared" si="5"/>
        <v>12.54309438313253</v>
      </c>
    </row>
    <row r="57" spans="1:24">
      <c r="A57" s="84">
        <v>42186</v>
      </c>
      <c r="B57" s="12">
        <f t="shared" si="14"/>
        <v>3520979.349999995</v>
      </c>
      <c r="C57" s="12">
        <v>33625.740000000034</v>
      </c>
      <c r="D57" s="12">
        <f t="shared" si="11"/>
        <v>11704.279999999962</v>
      </c>
      <c r="F57" s="84">
        <v>42186</v>
      </c>
      <c r="G57" s="12">
        <f t="shared" si="16"/>
        <v>71868.927999999942</v>
      </c>
      <c r="H57" s="12">
        <v>686.03199999997594</v>
      </c>
      <c r="I57" s="12">
        <f t="shared" si="12"/>
        <v>239.18800000002409</v>
      </c>
      <c r="K57" s="84">
        <v>42186</v>
      </c>
      <c r="L57" s="12">
        <f t="shared" si="8"/>
        <v>696.39818164967573</v>
      </c>
      <c r="M57" s="12">
        <v>6.6480941612604143</v>
      </c>
      <c r="N57" s="12">
        <v>2.3119058387395865</v>
      </c>
      <c r="P57" s="84">
        <v>42186</v>
      </c>
      <c r="Q57" s="12">
        <f t="shared" si="9"/>
        <v>139390.21477783503</v>
      </c>
      <c r="R57" s="12">
        <f t="shared" si="13"/>
        <v>1315.6045227062095</v>
      </c>
      <c r="S57" s="12">
        <f t="shared" si="10"/>
        <v>479.44547729379042</v>
      </c>
      <c r="T57" s="85">
        <f t="shared" si="2"/>
        <v>35634.024616867478</v>
      </c>
      <c r="U57" s="85">
        <f t="shared" si="3"/>
        <v>12425.225383132516</v>
      </c>
      <c r="W57" s="85">
        <f t="shared" si="4"/>
        <v>35.634024616867478</v>
      </c>
      <c r="X57" s="85">
        <f t="shared" si="5"/>
        <v>12.425225383132515</v>
      </c>
    </row>
    <row r="58" spans="1:24">
      <c r="A58" s="84">
        <v>42217</v>
      </c>
      <c r="B58" s="12">
        <f t="shared" si="14"/>
        <v>3487353.6099999947</v>
      </c>
      <c r="C58" s="12">
        <v>33737.53000000005</v>
      </c>
      <c r="D58" s="12">
        <f t="shared" si="11"/>
        <v>11592.489999999947</v>
      </c>
      <c r="F58" s="84">
        <v>42217</v>
      </c>
      <c r="G58" s="12">
        <f t="shared" si="16"/>
        <v>71182.895999999964</v>
      </c>
      <c r="H58" s="12">
        <v>688.71699999997588</v>
      </c>
      <c r="I58" s="12">
        <f t="shared" si="12"/>
        <v>236.50300000002414</v>
      </c>
      <c r="K58" s="84">
        <v>42217</v>
      </c>
      <c r="L58" s="12">
        <f t="shared" si="8"/>
        <v>689.75008748841537</v>
      </c>
      <c r="M58" s="12">
        <v>6.6720941612604134</v>
      </c>
      <c r="N58" s="12">
        <v>2.2879058387395874</v>
      </c>
      <c r="P58" s="84">
        <v>42217</v>
      </c>
      <c r="Q58" s="12">
        <f t="shared" si="9"/>
        <v>138074.61025512882</v>
      </c>
      <c r="R58" s="12">
        <f t="shared" si="13"/>
        <v>1319.3445227062095</v>
      </c>
      <c r="S58" s="12">
        <f t="shared" si="10"/>
        <v>475.70547729379041</v>
      </c>
      <c r="T58" s="85">
        <f t="shared" si="2"/>
        <v>35752.263616867494</v>
      </c>
      <c r="U58" s="85">
        <f t="shared" si="3"/>
        <v>12306.986383132502</v>
      </c>
      <c r="W58" s="85">
        <f t="shared" si="4"/>
        <v>35.752263616867495</v>
      </c>
      <c r="X58" s="85">
        <f t="shared" si="5"/>
        <v>12.306986383132502</v>
      </c>
    </row>
    <row r="59" spans="1:24">
      <c r="A59" s="84">
        <v>42248</v>
      </c>
      <c r="B59" s="12">
        <f t="shared" si="14"/>
        <v>3453616.0799999945</v>
      </c>
      <c r="C59" s="12">
        <v>33849.690000000068</v>
      </c>
      <c r="D59" s="12">
        <f t="shared" si="11"/>
        <v>11480.329999999929</v>
      </c>
      <c r="F59" s="84">
        <v>42248</v>
      </c>
      <c r="G59" s="12">
        <f t="shared" si="16"/>
        <v>70494.178999999989</v>
      </c>
      <c r="H59" s="12">
        <v>691.40199999997583</v>
      </c>
      <c r="I59" s="12">
        <f t="shared" si="12"/>
        <v>233.8180000000242</v>
      </c>
      <c r="K59" s="84">
        <v>42248</v>
      </c>
      <c r="L59" s="12">
        <f t="shared" si="8"/>
        <v>683.07799332715501</v>
      </c>
      <c r="M59" s="12">
        <v>6.6960941612604126</v>
      </c>
      <c r="N59" s="12">
        <v>2.2639058387395883</v>
      </c>
      <c r="P59" s="84">
        <v>42248</v>
      </c>
      <c r="Q59" s="12">
        <f t="shared" si="9"/>
        <v>136755.26573242262</v>
      </c>
      <c r="R59" s="12">
        <f t="shared" si="13"/>
        <v>1323.0845227062096</v>
      </c>
      <c r="S59" s="12">
        <f t="shared" si="10"/>
        <v>471.9654772937904</v>
      </c>
      <c r="T59" s="85">
        <f t="shared" si="2"/>
        <v>35870.872616867513</v>
      </c>
      <c r="U59" s="85">
        <f t="shared" si="3"/>
        <v>12188.377383132483</v>
      </c>
      <c r="W59" s="85">
        <f t="shared" si="4"/>
        <v>35.870872616867516</v>
      </c>
      <c r="X59" s="85">
        <f t="shared" si="5"/>
        <v>12.188377383132483</v>
      </c>
    </row>
    <row r="60" spans="1:24">
      <c r="A60" s="84">
        <v>42278</v>
      </c>
      <c r="B60" s="12">
        <f t="shared" si="14"/>
        <v>3419766.3899999945</v>
      </c>
      <c r="C60" s="12">
        <v>33962.220000000088</v>
      </c>
      <c r="D60" s="12">
        <f t="shared" si="11"/>
        <v>11367.799999999908</v>
      </c>
      <c r="F60" s="84">
        <v>42278</v>
      </c>
      <c r="G60" s="12">
        <f t="shared" si="16"/>
        <v>69802.777000000016</v>
      </c>
      <c r="H60" s="12">
        <v>694.08699999997577</v>
      </c>
      <c r="I60" s="12">
        <f t="shared" si="12"/>
        <v>231.13300000002425</v>
      </c>
      <c r="K60" s="84">
        <v>42278</v>
      </c>
      <c r="L60" s="12">
        <f t="shared" si="8"/>
        <v>676.38189916589465</v>
      </c>
      <c r="M60" s="12">
        <v>6.7200941612604117</v>
      </c>
      <c r="N60" s="12">
        <v>2.2399058387395892</v>
      </c>
      <c r="P60" s="84">
        <v>42278</v>
      </c>
      <c r="Q60" s="12">
        <f t="shared" si="9"/>
        <v>135432.18120971639</v>
      </c>
      <c r="R60" s="12">
        <f t="shared" si="13"/>
        <v>1326.8245227062096</v>
      </c>
      <c r="S60" s="12">
        <f t="shared" si="10"/>
        <v>468.22547729379039</v>
      </c>
      <c r="T60" s="85">
        <f t="shared" si="2"/>
        <v>35989.851616867534</v>
      </c>
      <c r="U60" s="85">
        <f t="shared" si="3"/>
        <v>12069.398383132462</v>
      </c>
      <c r="W60" s="85">
        <f t="shared" si="4"/>
        <v>35.989851616867533</v>
      </c>
      <c r="X60" s="85">
        <f t="shared" si="5"/>
        <v>12.069398383132462</v>
      </c>
    </row>
    <row r="61" spans="1:24">
      <c r="A61" s="84">
        <v>42309</v>
      </c>
      <c r="B61" s="12">
        <f t="shared" si="14"/>
        <v>3385804.1699999943</v>
      </c>
      <c r="C61" s="12">
        <v>34075.120000000112</v>
      </c>
      <c r="D61" s="12">
        <f t="shared" si="11"/>
        <v>11254.899999999885</v>
      </c>
      <c r="F61" s="84">
        <v>42309</v>
      </c>
      <c r="G61" s="12">
        <f t="shared" si="16"/>
        <v>69108.690000000046</v>
      </c>
      <c r="H61" s="12">
        <v>696.77199999997572</v>
      </c>
      <c r="I61" s="12">
        <f t="shared" si="12"/>
        <v>228.44800000002431</v>
      </c>
      <c r="K61" s="84">
        <v>42309</v>
      </c>
      <c r="L61" s="12">
        <f t="shared" si="8"/>
        <v>669.66180500463429</v>
      </c>
      <c r="M61" s="12">
        <v>6.7440941612604108</v>
      </c>
      <c r="N61" s="12">
        <v>2.21590583873959</v>
      </c>
      <c r="P61" s="84">
        <v>42309</v>
      </c>
      <c r="Q61" s="12">
        <f t="shared" si="9"/>
        <v>134105.35668701018</v>
      </c>
      <c r="R61" s="12">
        <f t="shared" si="13"/>
        <v>1330.5645227062096</v>
      </c>
      <c r="S61" s="12">
        <f t="shared" si="10"/>
        <v>464.48547729379038</v>
      </c>
      <c r="T61" s="85">
        <f t="shared" si="2"/>
        <v>36109.200616867558</v>
      </c>
      <c r="U61" s="85">
        <f t="shared" si="3"/>
        <v>11950.049383132438</v>
      </c>
      <c r="W61" s="85">
        <f t="shared" si="4"/>
        <v>36.109200616867561</v>
      </c>
      <c r="X61" s="85">
        <f t="shared" si="5"/>
        <v>11.950049383132438</v>
      </c>
    </row>
    <row r="62" spans="1:24">
      <c r="A62" s="84">
        <v>42339</v>
      </c>
      <c r="B62" s="12">
        <f t="shared" si="14"/>
        <v>3351729.0499999942</v>
      </c>
      <c r="C62" s="12">
        <v>34188.390000000138</v>
      </c>
      <c r="D62" s="12">
        <f t="shared" si="11"/>
        <v>11141.629999999859</v>
      </c>
      <c r="F62" s="84">
        <v>42339</v>
      </c>
      <c r="G62" s="12">
        <f t="shared" si="16"/>
        <v>68411.918000000063</v>
      </c>
      <c r="H62" s="12">
        <v>697.81</v>
      </c>
      <c r="I62" s="12">
        <f t="shared" si="12"/>
        <v>227.41000000000008</v>
      </c>
      <c r="K62" s="84">
        <v>42339</v>
      </c>
      <c r="L62" s="12">
        <f t="shared" si="8"/>
        <v>662.91771084337392</v>
      </c>
      <c r="M62" s="12">
        <v>6.76</v>
      </c>
      <c r="N62" s="12">
        <v>2.2000000000000011</v>
      </c>
      <c r="P62" s="84">
        <v>42339</v>
      </c>
      <c r="Q62" s="12">
        <f t="shared" si="9"/>
        <v>132774.79216430397</v>
      </c>
      <c r="R62" s="12">
        <f t="shared" si="13"/>
        <v>1334.3045227062096</v>
      </c>
      <c r="S62" s="12">
        <f t="shared" si="10"/>
        <v>460.74547729379037</v>
      </c>
      <c r="T62" s="85">
        <f t="shared" si="2"/>
        <v>36227.264522706348</v>
      </c>
      <c r="U62" s="85">
        <f t="shared" si="3"/>
        <v>11831.985477293649</v>
      </c>
      <c r="W62" s="85">
        <f t="shared" si="4"/>
        <v>36.227264522706349</v>
      </c>
      <c r="X62" s="85">
        <f t="shared" si="5"/>
        <v>11.831985477293649</v>
      </c>
    </row>
    <row r="63" spans="1:24">
      <c r="A63" s="84">
        <v>42370</v>
      </c>
      <c r="B63" s="12">
        <f t="shared" si="14"/>
        <v>3317540.6599999941</v>
      </c>
      <c r="C63" s="12">
        <v>34302.040000000161</v>
      </c>
      <c r="D63" s="12">
        <f t="shared" si="11"/>
        <v>11027.979999999836</v>
      </c>
      <c r="F63" s="84">
        <v>42370</v>
      </c>
      <c r="G63" s="12">
        <f t="shared" si="16"/>
        <v>67714.108000000066</v>
      </c>
      <c r="H63" s="12">
        <v>700</v>
      </c>
      <c r="I63" s="12">
        <f t="shared" si="12"/>
        <v>225.22000000000003</v>
      </c>
      <c r="K63" s="84">
        <v>42370</v>
      </c>
      <c r="L63" s="12">
        <f t="shared" si="8"/>
        <v>656.15771084337393</v>
      </c>
      <c r="M63" s="12">
        <v>6.78</v>
      </c>
      <c r="N63" s="12">
        <v>2.1800000000000006</v>
      </c>
      <c r="P63" s="84">
        <v>42370</v>
      </c>
      <c r="Q63" s="12">
        <f t="shared" si="9"/>
        <v>131440.48764159778</v>
      </c>
      <c r="R63" s="12">
        <f t="shared" si="13"/>
        <v>1338.0445227062096</v>
      </c>
      <c r="S63" s="12">
        <f t="shared" si="10"/>
        <v>457.00547729379036</v>
      </c>
      <c r="T63" s="85">
        <f t="shared" si="2"/>
        <v>36346.864522706368</v>
      </c>
      <c r="U63" s="85">
        <f t="shared" si="3"/>
        <v>11712.385477293627</v>
      </c>
      <c r="W63" s="85">
        <f t="shared" si="4"/>
        <v>36.346864522706369</v>
      </c>
      <c r="X63" s="85">
        <f t="shared" si="5"/>
        <v>11.712385477293626</v>
      </c>
    </row>
    <row r="64" spans="1:24">
      <c r="A64" s="84">
        <v>42401</v>
      </c>
      <c r="B64" s="12">
        <f t="shared" si="14"/>
        <v>3283238.6199999941</v>
      </c>
      <c r="C64" s="12">
        <v>34416.070000000182</v>
      </c>
      <c r="D64" s="12">
        <f t="shared" si="11"/>
        <v>10913.949999999815</v>
      </c>
      <c r="F64" s="84">
        <v>42401</v>
      </c>
      <c r="G64" s="12">
        <f t="shared" si="16"/>
        <v>67014.108000000066</v>
      </c>
      <c r="H64" s="12">
        <v>702.45</v>
      </c>
      <c r="I64" s="12">
        <f t="shared" si="12"/>
        <v>222.76999999999998</v>
      </c>
      <c r="K64" s="84">
        <v>42401</v>
      </c>
      <c r="L64" s="12">
        <f t="shared" si="8"/>
        <v>649.37771084337396</v>
      </c>
      <c r="M64" s="12">
        <v>6.8029999999999999</v>
      </c>
      <c r="N64" s="12">
        <v>2.1570000000000009</v>
      </c>
      <c r="P64" s="84">
        <v>42401</v>
      </c>
      <c r="Q64" s="12">
        <f t="shared" si="9"/>
        <v>130102.44311889156</v>
      </c>
      <c r="R64" s="12">
        <f t="shared" si="13"/>
        <v>1341.7845227062096</v>
      </c>
      <c r="S64" s="12">
        <f t="shared" si="10"/>
        <v>453.26547729379035</v>
      </c>
      <c r="T64" s="85">
        <f t="shared" si="2"/>
        <v>36467.107522706392</v>
      </c>
      <c r="U64" s="85">
        <f t="shared" si="3"/>
        <v>11592.142477293606</v>
      </c>
      <c r="W64" s="85">
        <f t="shared" si="4"/>
        <v>36.467107522706392</v>
      </c>
      <c r="X64" s="85">
        <f t="shared" si="5"/>
        <v>11.592142477293606</v>
      </c>
    </row>
    <row r="65" spans="1:24">
      <c r="A65" s="84">
        <v>42430</v>
      </c>
      <c r="B65" s="12">
        <f t="shared" si="14"/>
        <v>3248822.5499999938</v>
      </c>
      <c r="C65" s="12">
        <v>34530.4800000002</v>
      </c>
      <c r="D65" s="12">
        <f t="shared" si="11"/>
        <v>10799.539999999797</v>
      </c>
      <c r="F65" s="84">
        <v>42430</v>
      </c>
      <c r="G65" s="12">
        <f t="shared" si="16"/>
        <v>66311.658000000069</v>
      </c>
      <c r="H65" s="12">
        <v>704.79</v>
      </c>
      <c r="I65" s="12">
        <f t="shared" si="12"/>
        <v>220.43000000000006</v>
      </c>
      <c r="K65" s="84">
        <v>42430</v>
      </c>
      <c r="L65" s="12">
        <f t="shared" si="8"/>
        <v>642.57471084337396</v>
      </c>
      <c r="M65" s="12">
        <v>6.8259999999999996</v>
      </c>
      <c r="N65" s="12">
        <v>2.1340000000000012</v>
      </c>
      <c r="P65" s="84">
        <v>42430</v>
      </c>
      <c r="Q65" s="12">
        <f t="shared" si="9"/>
        <v>128760.65859618536</v>
      </c>
      <c r="R65" s="12">
        <f t="shared" si="13"/>
        <v>1345.5245227062096</v>
      </c>
      <c r="S65" s="12">
        <f t="shared" si="10"/>
        <v>449.52547729379035</v>
      </c>
      <c r="T65" s="85">
        <f t="shared" si="2"/>
        <v>36587.620522706406</v>
      </c>
      <c r="U65" s="85">
        <f t="shared" si="3"/>
        <v>11471.629477293587</v>
      </c>
      <c r="W65" s="85">
        <f t="shared" si="4"/>
        <v>36.587620522706409</v>
      </c>
      <c r="X65" s="85">
        <f t="shared" si="5"/>
        <v>11.471629477293588</v>
      </c>
    </row>
    <row r="66" spans="1:24">
      <c r="A66" s="84">
        <v>42461</v>
      </c>
      <c r="B66" s="12">
        <f t="shared" si="14"/>
        <v>3214292.0699999938</v>
      </c>
      <c r="C66" s="12">
        <v>34645.270000000215</v>
      </c>
      <c r="D66" s="12">
        <f t="shared" si="11"/>
        <v>10684.749999999782</v>
      </c>
      <c r="F66" s="84">
        <v>42461</v>
      </c>
      <c r="G66" s="12">
        <f t="shared" si="16"/>
        <v>65606.868000000075</v>
      </c>
      <c r="H66" s="12">
        <v>707.13</v>
      </c>
      <c r="I66" s="12">
        <f t="shared" si="12"/>
        <v>218.09000000000003</v>
      </c>
      <c r="K66" s="84">
        <v>42461</v>
      </c>
      <c r="L66" s="12">
        <f t="shared" si="8"/>
        <v>635.74871084337394</v>
      </c>
      <c r="M66" s="12">
        <v>6.8489999999999993</v>
      </c>
      <c r="N66" s="12">
        <v>2.1110000000000015</v>
      </c>
      <c r="P66" s="84">
        <v>42461</v>
      </c>
      <c r="Q66" s="12">
        <f t="shared" si="9"/>
        <v>127415.13407347914</v>
      </c>
      <c r="R66" s="12">
        <f t="shared" si="13"/>
        <v>1349.2645227062096</v>
      </c>
      <c r="S66" s="12">
        <f t="shared" si="10"/>
        <v>445.78547729379034</v>
      </c>
      <c r="T66" s="85">
        <f t="shared" si="2"/>
        <v>36708.513522706424</v>
      </c>
      <c r="U66" s="85">
        <f t="shared" si="3"/>
        <v>11350.736477293573</v>
      </c>
      <c r="W66" s="85">
        <f t="shared" si="4"/>
        <v>36.708513522706426</v>
      </c>
      <c r="X66" s="85">
        <f t="shared" si="5"/>
        <v>11.350736477293573</v>
      </c>
    </row>
    <row r="67" spans="1:24">
      <c r="A67" s="84">
        <v>42491</v>
      </c>
      <c r="B67" s="12">
        <f t="shared" si="14"/>
        <v>3179646.7999999938</v>
      </c>
      <c r="C67" s="12">
        <v>34760.430000000233</v>
      </c>
      <c r="D67" s="12">
        <f t="shared" si="11"/>
        <v>10569.589999999764</v>
      </c>
      <c r="F67" s="84">
        <v>42491</v>
      </c>
      <c r="G67" s="12">
        <f t="shared" si="16"/>
        <v>64899.738000000078</v>
      </c>
      <c r="H67" s="12">
        <v>709.48</v>
      </c>
      <c r="I67" s="12">
        <f t="shared" si="12"/>
        <v>215.74</v>
      </c>
      <c r="K67" s="84">
        <v>42491</v>
      </c>
      <c r="L67" s="12">
        <f t="shared" si="8"/>
        <v>628.8997108433739</v>
      </c>
      <c r="M67" s="12">
        <v>6.871999999999999</v>
      </c>
      <c r="N67" s="12">
        <v>2.0880000000000019</v>
      </c>
      <c r="P67" s="84">
        <v>42491</v>
      </c>
      <c r="Q67" s="12">
        <f t="shared" si="9"/>
        <v>126065.86955077293</v>
      </c>
      <c r="R67" s="12">
        <f t="shared" si="13"/>
        <v>1353.0045227062096</v>
      </c>
      <c r="S67" s="12">
        <f t="shared" si="10"/>
        <v>442.04547729379033</v>
      </c>
      <c r="T67" s="85">
        <f t="shared" si="2"/>
        <v>36829.786522706447</v>
      </c>
      <c r="U67" s="85">
        <f t="shared" si="3"/>
        <v>11229.463477293553</v>
      </c>
      <c r="W67" s="85">
        <f t="shared" si="4"/>
        <v>36.829786522706449</v>
      </c>
      <c r="X67" s="85">
        <f t="shared" si="5"/>
        <v>11.229463477293553</v>
      </c>
    </row>
    <row r="68" spans="1:24">
      <c r="A68" s="84">
        <v>42522</v>
      </c>
      <c r="B68" s="12">
        <f t="shared" si="14"/>
        <v>3144886.3699999936</v>
      </c>
      <c r="C68" s="12">
        <v>34875.970000000249</v>
      </c>
      <c r="D68" s="12">
        <f t="shared" si="11"/>
        <v>10454.049999999748</v>
      </c>
      <c r="F68" s="84">
        <v>42522</v>
      </c>
      <c r="G68" s="12">
        <f t="shared" si="16"/>
        <v>64190.258000000074</v>
      </c>
      <c r="H68" s="12">
        <v>711.84</v>
      </c>
      <c r="I68" s="12">
        <f t="shared" si="12"/>
        <v>213.38</v>
      </c>
      <c r="K68" s="84">
        <v>42522</v>
      </c>
      <c r="L68" s="12">
        <f t="shared" si="8"/>
        <v>622.02771084337394</v>
      </c>
      <c r="M68" s="12">
        <v>6.8949999999999987</v>
      </c>
      <c r="N68" s="12">
        <v>2.0650000000000022</v>
      </c>
      <c r="P68" s="84">
        <v>42522</v>
      </c>
      <c r="Q68" s="12">
        <f t="shared" si="9"/>
        <v>124712.86502806672</v>
      </c>
      <c r="R68" s="12">
        <f t="shared" si="13"/>
        <v>1356.7445227062096</v>
      </c>
      <c r="S68" s="12">
        <f t="shared" si="10"/>
        <v>438.30547729379032</v>
      </c>
      <c r="T68" s="85">
        <f t="shared" ref="T68:T122" si="17">+R68+M68+H68+C68</f>
        <v>36951.449522706462</v>
      </c>
      <c r="U68" s="85">
        <f t="shared" ref="U68:U122" si="18">+S68+N68+I68+D68</f>
        <v>11107.800477293538</v>
      </c>
      <c r="W68" s="85">
        <f t="shared" ref="W68:W122" si="19">+T68/1000</f>
        <v>36.951449522706461</v>
      </c>
      <c r="X68" s="85">
        <f t="shared" ref="X68:X122" si="20">+U68/1000</f>
        <v>11.107800477293539</v>
      </c>
    </row>
    <row r="69" spans="1:24">
      <c r="A69" s="84">
        <v>42552</v>
      </c>
      <c r="B69" s="12">
        <f t="shared" si="14"/>
        <v>3110010.3999999934</v>
      </c>
      <c r="C69" s="12">
        <v>34991.880000000267</v>
      </c>
      <c r="D69" s="12">
        <f t="shared" si="11"/>
        <v>10338.13999999973</v>
      </c>
      <c r="F69" s="84">
        <v>42552</v>
      </c>
      <c r="G69" s="12">
        <f t="shared" si="16"/>
        <v>63478.418000000078</v>
      </c>
      <c r="H69" s="12">
        <v>714.21</v>
      </c>
      <c r="I69" s="12">
        <f t="shared" si="12"/>
        <v>211.01</v>
      </c>
      <c r="K69" s="84">
        <v>42552</v>
      </c>
      <c r="L69" s="12">
        <f t="shared" si="8"/>
        <v>615.13271084337396</v>
      </c>
      <c r="M69" s="12">
        <v>6.9179999999999984</v>
      </c>
      <c r="N69" s="12">
        <v>2.0420000000000025</v>
      </c>
      <c r="P69" s="84">
        <v>42552</v>
      </c>
      <c r="Q69" s="12">
        <f t="shared" si="9"/>
        <v>123356.12050536051</v>
      </c>
      <c r="R69" s="12">
        <f t="shared" si="13"/>
        <v>1360.4845227062096</v>
      </c>
      <c r="S69" s="12">
        <f t="shared" si="10"/>
        <v>434.56547729379031</v>
      </c>
      <c r="T69" s="85">
        <f t="shared" si="17"/>
        <v>37073.492522706474</v>
      </c>
      <c r="U69" s="85">
        <f t="shared" si="18"/>
        <v>10985.75747729352</v>
      </c>
      <c r="W69" s="85">
        <f t="shared" si="19"/>
        <v>37.073492522706474</v>
      </c>
      <c r="X69" s="85">
        <f t="shared" si="20"/>
        <v>10.98575747729352</v>
      </c>
    </row>
    <row r="70" spans="1:24">
      <c r="A70" s="84">
        <v>42583</v>
      </c>
      <c r="B70" s="12">
        <f t="shared" si="14"/>
        <v>3075018.519999993</v>
      </c>
      <c r="C70" s="12">
        <v>35108.170000000282</v>
      </c>
      <c r="D70" s="12">
        <f t="shared" si="11"/>
        <v>10221.849999999715</v>
      </c>
      <c r="F70" s="84">
        <v>42583</v>
      </c>
      <c r="G70" s="12">
        <f t="shared" si="16"/>
        <v>62764.208000000079</v>
      </c>
      <c r="H70" s="12">
        <v>716.59</v>
      </c>
      <c r="I70" s="12">
        <f t="shared" si="12"/>
        <v>208.63</v>
      </c>
      <c r="K70" s="84">
        <v>42583</v>
      </c>
      <c r="L70" s="12">
        <f t="shared" ref="L70:L122" si="21">+L69-M69</f>
        <v>608.21471084337395</v>
      </c>
      <c r="M70" s="12">
        <v>6.9409999999999981</v>
      </c>
      <c r="N70" s="12">
        <v>2.0190000000000028</v>
      </c>
      <c r="P70" s="84">
        <v>42583</v>
      </c>
      <c r="Q70" s="12">
        <f t="shared" ref="Q70:Q122" si="22">+Q69-R69</f>
        <v>121995.6359826543</v>
      </c>
      <c r="R70" s="12">
        <f t="shared" si="13"/>
        <v>1364.2245227062097</v>
      </c>
      <c r="S70" s="12">
        <f t="shared" si="10"/>
        <v>430.8254772937903</v>
      </c>
      <c r="T70" s="85">
        <f t="shared" si="17"/>
        <v>37195.925522706493</v>
      </c>
      <c r="U70" s="85">
        <f t="shared" si="18"/>
        <v>10863.324477293505</v>
      </c>
      <c r="W70" s="85">
        <f t="shared" si="19"/>
        <v>37.195925522706496</v>
      </c>
      <c r="X70" s="85">
        <f t="shared" si="20"/>
        <v>10.863324477293505</v>
      </c>
    </row>
    <row r="71" spans="1:24">
      <c r="A71" s="84">
        <v>42614</v>
      </c>
      <c r="B71" s="12">
        <f t="shared" si="14"/>
        <v>3039910.3499999926</v>
      </c>
      <c r="C71" s="12">
        <v>35224.840000000295</v>
      </c>
      <c r="D71" s="12">
        <f t="shared" si="11"/>
        <v>10105.179999999702</v>
      </c>
      <c r="F71" s="84">
        <v>42614</v>
      </c>
      <c r="G71" s="12">
        <f t="shared" si="16"/>
        <v>62047.618000000082</v>
      </c>
      <c r="H71" s="12">
        <v>718.98</v>
      </c>
      <c r="I71" s="12">
        <f t="shared" si="12"/>
        <v>206.24</v>
      </c>
      <c r="K71" s="84">
        <v>42614</v>
      </c>
      <c r="L71" s="12">
        <f t="shared" si="21"/>
        <v>601.27371084337392</v>
      </c>
      <c r="M71" s="12">
        <v>6.9639999999999977</v>
      </c>
      <c r="N71" s="12">
        <v>1.9960000000000031</v>
      </c>
      <c r="P71" s="84">
        <v>42614</v>
      </c>
      <c r="Q71" s="12">
        <f t="shared" si="22"/>
        <v>120631.4114599481</v>
      </c>
      <c r="R71" s="12">
        <f t="shared" si="13"/>
        <v>1367.9645227062097</v>
      </c>
      <c r="S71" s="12">
        <f t="shared" ref="S71:S121" si="23">1795.05-R71</f>
        <v>427.08547729379029</v>
      </c>
      <c r="T71" s="85">
        <f t="shared" si="17"/>
        <v>37318.748522706504</v>
      </c>
      <c r="U71" s="85">
        <f t="shared" si="18"/>
        <v>10740.501477293492</v>
      </c>
      <c r="W71" s="85">
        <f t="shared" si="19"/>
        <v>37.318748522706507</v>
      </c>
      <c r="X71" s="85">
        <f t="shared" si="20"/>
        <v>10.740501477293492</v>
      </c>
    </row>
    <row r="72" spans="1:24">
      <c r="A72" s="84">
        <v>42644</v>
      </c>
      <c r="B72" s="12">
        <f t="shared" si="14"/>
        <v>3004685.5099999923</v>
      </c>
      <c r="C72" s="12">
        <v>35341.890000000305</v>
      </c>
      <c r="D72" s="12">
        <f t="shared" si="11"/>
        <v>9988.1299999996918</v>
      </c>
      <c r="F72" s="84">
        <v>42644</v>
      </c>
      <c r="G72" s="12">
        <f t="shared" si="16"/>
        <v>61328.638000000079</v>
      </c>
      <c r="H72" s="12">
        <v>721.38</v>
      </c>
      <c r="I72" s="12">
        <f t="shared" si="12"/>
        <v>203.84000000000003</v>
      </c>
      <c r="K72" s="84">
        <v>42644</v>
      </c>
      <c r="L72" s="12">
        <f t="shared" si="21"/>
        <v>594.30971084337398</v>
      </c>
      <c r="M72" s="12">
        <v>6.9869999999999974</v>
      </c>
      <c r="N72" s="12">
        <v>1.9730000000000034</v>
      </c>
      <c r="P72" s="84">
        <v>42644</v>
      </c>
      <c r="Q72" s="12">
        <f t="shared" si="22"/>
        <v>119263.44693724188</v>
      </c>
      <c r="R72" s="12">
        <f t="shared" si="13"/>
        <v>1371.7045227062097</v>
      </c>
      <c r="S72" s="12">
        <f t="shared" si="23"/>
        <v>423.34547729379028</v>
      </c>
      <c r="T72" s="85">
        <f t="shared" si="17"/>
        <v>37441.961522706515</v>
      </c>
      <c r="U72" s="85">
        <f t="shared" si="18"/>
        <v>10617.288477293481</v>
      </c>
      <c r="W72" s="85">
        <f t="shared" si="19"/>
        <v>37.441961522706514</v>
      </c>
      <c r="X72" s="85">
        <f t="shared" si="20"/>
        <v>10.617288477293481</v>
      </c>
    </row>
    <row r="73" spans="1:24">
      <c r="A73" s="84">
        <v>42675</v>
      </c>
      <c r="B73" s="12">
        <f t="shared" si="14"/>
        <v>2969343.6199999922</v>
      </c>
      <c r="C73" s="12">
        <v>35459.320000000313</v>
      </c>
      <c r="D73" s="12">
        <f t="shared" si="11"/>
        <v>9870.6999999996842</v>
      </c>
      <c r="F73" s="84">
        <v>42675</v>
      </c>
      <c r="G73" s="12">
        <f t="shared" si="16"/>
        <v>60607.258000000082</v>
      </c>
      <c r="H73" s="12">
        <v>723.79</v>
      </c>
      <c r="I73" s="12">
        <f t="shared" si="12"/>
        <v>201.43000000000006</v>
      </c>
      <c r="K73" s="84">
        <v>42675</v>
      </c>
      <c r="L73" s="12">
        <f t="shared" si="21"/>
        <v>587.32271084337401</v>
      </c>
      <c r="M73" s="12">
        <v>7.0099999999999971</v>
      </c>
      <c r="N73" s="12">
        <v>1.9500000000000037</v>
      </c>
      <c r="P73" s="84">
        <v>42675</v>
      </c>
      <c r="Q73" s="12">
        <f t="shared" si="22"/>
        <v>117891.74241453568</v>
      </c>
      <c r="R73" s="12">
        <f t="shared" si="13"/>
        <v>1375.4445227062097</v>
      </c>
      <c r="S73" s="12">
        <f t="shared" si="23"/>
        <v>419.60547729379027</v>
      </c>
      <c r="T73" s="85">
        <f t="shared" si="17"/>
        <v>37565.564522706525</v>
      </c>
      <c r="U73" s="85">
        <f t="shared" si="18"/>
        <v>10493.685477293475</v>
      </c>
      <c r="W73" s="85">
        <f t="shared" si="19"/>
        <v>37.565564522706524</v>
      </c>
      <c r="X73" s="85">
        <f t="shared" si="20"/>
        <v>10.493685477293475</v>
      </c>
    </row>
    <row r="74" spans="1:24">
      <c r="A74" s="84">
        <v>42705</v>
      </c>
      <c r="B74" s="12">
        <f t="shared" si="14"/>
        <v>2933884.2999999919</v>
      </c>
      <c r="C74" s="12">
        <v>35577.130000000318</v>
      </c>
      <c r="D74" s="12">
        <f t="shared" si="11"/>
        <v>9752.8899999996793</v>
      </c>
      <c r="F74" s="84">
        <v>42705</v>
      </c>
      <c r="G74" s="12">
        <f t="shared" si="16"/>
        <v>59883.468000000081</v>
      </c>
      <c r="H74" s="12">
        <v>726.20999999999992</v>
      </c>
      <c r="I74" s="12">
        <f t="shared" si="12"/>
        <v>199.0100000000001</v>
      </c>
      <c r="K74" s="84">
        <v>42705</v>
      </c>
      <c r="L74" s="12">
        <f t="shared" si="21"/>
        <v>580.31271084337402</v>
      </c>
      <c r="M74" s="12">
        <v>7.0329999999999968</v>
      </c>
      <c r="N74" s="12">
        <v>1.927000000000004</v>
      </c>
      <c r="P74" s="84">
        <v>42705</v>
      </c>
      <c r="Q74" s="12">
        <f t="shared" si="22"/>
        <v>116516.29789182947</v>
      </c>
      <c r="R74" s="12">
        <f t="shared" si="13"/>
        <v>1379.1845227062097</v>
      </c>
      <c r="S74" s="12">
        <f t="shared" si="23"/>
        <v>415.86547729379026</v>
      </c>
      <c r="T74" s="85">
        <f t="shared" si="17"/>
        <v>37689.557522706527</v>
      </c>
      <c r="U74" s="85">
        <f t="shared" si="18"/>
        <v>10369.692477293469</v>
      </c>
      <c r="W74" s="85">
        <f t="shared" si="19"/>
        <v>37.689557522706529</v>
      </c>
      <c r="X74" s="85">
        <f t="shared" si="20"/>
        <v>10.369692477293469</v>
      </c>
    </row>
    <row r="75" spans="1:24">
      <c r="A75" s="84">
        <v>42736</v>
      </c>
      <c r="B75" s="12">
        <f t="shared" si="14"/>
        <v>2898307.1699999915</v>
      </c>
      <c r="C75" s="12">
        <v>35695.32000000032</v>
      </c>
      <c r="D75" s="12">
        <f t="shared" si="11"/>
        <v>9634.6999999996769</v>
      </c>
      <c r="F75" s="84">
        <v>42736</v>
      </c>
      <c r="G75" s="12">
        <f t="shared" si="16"/>
        <v>59157.258000000082</v>
      </c>
      <c r="H75" s="12">
        <v>728.63999999999987</v>
      </c>
      <c r="I75" s="12">
        <f t="shared" si="12"/>
        <v>196.58000000000015</v>
      </c>
      <c r="K75" s="84">
        <v>42736</v>
      </c>
      <c r="L75" s="12">
        <f t="shared" si="21"/>
        <v>573.279710843374</v>
      </c>
      <c r="M75" s="12">
        <v>7.0559999999999965</v>
      </c>
      <c r="N75" s="12">
        <v>1.9040000000000044</v>
      </c>
      <c r="P75" s="84">
        <v>42736</v>
      </c>
      <c r="Q75" s="12">
        <f t="shared" si="22"/>
        <v>115137.11336912325</v>
      </c>
      <c r="R75" s="12">
        <f t="shared" si="13"/>
        <v>1382.9245227062097</v>
      </c>
      <c r="S75" s="12">
        <f t="shared" si="23"/>
        <v>412.12547729379025</v>
      </c>
      <c r="T75" s="85">
        <f t="shared" si="17"/>
        <v>37813.940522706529</v>
      </c>
      <c r="U75" s="85">
        <f t="shared" si="18"/>
        <v>10245.309477293467</v>
      </c>
      <c r="W75" s="85">
        <f t="shared" si="19"/>
        <v>37.813940522706531</v>
      </c>
      <c r="X75" s="85">
        <f t="shared" si="20"/>
        <v>10.245309477293468</v>
      </c>
    </row>
    <row r="76" spans="1:24">
      <c r="A76" s="84">
        <v>42767</v>
      </c>
      <c r="B76" s="12">
        <f t="shared" si="14"/>
        <v>2862611.8499999912</v>
      </c>
      <c r="C76" s="12">
        <v>35813.93000000032</v>
      </c>
      <c r="D76" s="12">
        <f t="shared" si="11"/>
        <v>9516.0899999996764</v>
      </c>
      <c r="F76" s="84">
        <v>42767</v>
      </c>
      <c r="G76" s="12">
        <f t="shared" si="16"/>
        <v>58428.618000000082</v>
      </c>
      <c r="H76" s="12">
        <v>731.07299999999987</v>
      </c>
      <c r="I76" s="12">
        <f t="shared" si="12"/>
        <v>194.14700000000016</v>
      </c>
      <c r="K76" s="84">
        <v>42767</v>
      </c>
      <c r="L76" s="12">
        <f t="shared" si="21"/>
        <v>566.22371084337396</v>
      </c>
      <c r="M76" s="12">
        <v>7.0789999999999962</v>
      </c>
      <c r="N76" s="12">
        <v>1.8810000000000047</v>
      </c>
      <c r="P76" s="84">
        <v>42767</v>
      </c>
      <c r="Q76" s="12">
        <f t="shared" si="22"/>
        <v>113754.18884641705</v>
      </c>
      <c r="R76" s="12">
        <f t="shared" si="13"/>
        <v>1386.6645227062097</v>
      </c>
      <c r="S76" s="12">
        <f t="shared" si="23"/>
        <v>408.38547729379025</v>
      </c>
      <c r="T76" s="85">
        <f t="shared" si="17"/>
        <v>37938.746522706533</v>
      </c>
      <c r="U76" s="85">
        <f t="shared" si="18"/>
        <v>10120.503477293467</v>
      </c>
      <c r="W76" s="85">
        <f t="shared" si="19"/>
        <v>37.938746522706531</v>
      </c>
      <c r="X76" s="85">
        <f t="shared" si="20"/>
        <v>10.120503477293466</v>
      </c>
    </row>
    <row r="77" spans="1:24">
      <c r="A77" s="84">
        <v>42795</v>
      </c>
      <c r="B77" s="12">
        <f t="shared" si="14"/>
        <v>2826797.9199999911</v>
      </c>
      <c r="C77" s="12">
        <v>35932.960000000319</v>
      </c>
      <c r="D77" s="12">
        <f t="shared" si="11"/>
        <v>9397.0599999996775</v>
      </c>
      <c r="F77" s="84">
        <v>42795</v>
      </c>
      <c r="G77" s="12">
        <f t="shared" si="16"/>
        <v>57697.545000000086</v>
      </c>
      <c r="H77" s="12">
        <v>733.5089999999999</v>
      </c>
      <c r="I77" s="12">
        <f t="shared" si="12"/>
        <v>191.71100000000013</v>
      </c>
      <c r="K77" s="84">
        <v>42795</v>
      </c>
      <c r="L77" s="12">
        <f t="shared" si="21"/>
        <v>559.14471084337401</v>
      </c>
      <c r="M77" s="12">
        <v>7.1019999999999959</v>
      </c>
      <c r="N77" s="12">
        <v>1.858000000000005</v>
      </c>
      <c r="P77" s="84">
        <v>42795</v>
      </c>
      <c r="Q77" s="12">
        <f t="shared" si="22"/>
        <v>112367.52432371084</v>
      </c>
      <c r="R77" s="12">
        <f t="shared" si="13"/>
        <v>1390.4045227062097</v>
      </c>
      <c r="S77" s="12">
        <f t="shared" si="23"/>
        <v>404.64547729379024</v>
      </c>
      <c r="T77" s="85">
        <f t="shared" si="17"/>
        <v>38063.975522706533</v>
      </c>
      <c r="U77" s="85">
        <f t="shared" si="18"/>
        <v>9995.2744772934675</v>
      </c>
      <c r="W77" s="85">
        <f t="shared" si="19"/>
        <v>38.063975522706535</v>
      </c>
      <c r="X77" s="85">
        <f t="shared" si="20"/>
        <v>9.9952744772934672</v>
      </c>
    </row>
    <row r="78" spans="1:24">
      <c r="A78" s="84">
        <v>42826</v>
      </c>
      <c r="B78" s="12">
        <f t="shared" si="14"/>
        <v>2790864.9599999906</v>
      </c>
      <c r="C78" s="12">
        <v>36052.420000000318</v>
      </c>
      <c r="D78" s="12">
        <f t="shared" si="11"/>
        <v>9277.5999999996784</v>
      </c>
      <c r="F78" s="84">
        <v>42826</v>
      </c>
      <c r="G78" s="12">
        <f t="shared" si="16"/>
        <v>56964.036000000087</v>
      </c>
      <c r="H78" s="12">
        <v>735.94799999999998</v>
      </c>
      <c r="I78" s="12">
        <f t="shared" si="12"/>
        <v>189.27200000000005</v>
      </c>
      <c r="K78" s="84">
        <v>42826</v>
      </c>
      <c r="L78" s="12">
        <f t="shared" si="21"/>
        <v>552.04271084337404</v>
      </c>
      <c r="M78" s="12">
        <v>7.1249999999999956</v>
      </c>
      <c r="N78" s="12">
        <v>1.8350000000000053</v>
      </c>
      <c r="P78" s="84">
        <v>42826</v>
      </c>
      <c r="Q78" s="12">
        <f t="shared" si="22"/>
        <v>110977.11980100462</v>
      </c>
      <c r="R78" s="12">
        <f t="shared" si="13"/>
        <v>1394.1445227062097</v>
      </c>
      <c r="S78" s="12">
        <f t="shared" si="23"/>
        <v>400.90547729379023</v>
      </c>
      <c r="T78" s="85">
        <f t="shared" si="17"/>
        <v>38189.637522706529</v>
      </c>
      <c r="U78" s="85">
        <f t="shared" si="18"/>
        <v>9869.6124772934691</v>
      </c>
      <c r="W78" s="85">
        <f t="shared" si="19"/>
        <v>38.189637522706526</v>
      </c>
      <c r="X78" s="85">
        <f t="shared" si="20"/>
        <v>9.8696124772934688</v>
      </c>
    </row>
    <row r="79" spans="1:24">
      <c r="A79" s="84">
        <v>42856</v>
      </c>
      <c r="B79" s="12">
        <f t="shared" si="14"/>
        <v>2754812.5399999903</v>
      </c>
      <c r="C79" s="12">
        <v>36172.310000000318</v>
      </c>
      <c r="D79" s="12">
        <f t="shared" si="11"/>
        <v>9157.709999999679</v>
      </c>
      <c r="F79" s="84">
        <v>42856</v>
      </c>
      <c r="G79" s="12">
        <f t="shared" si="16"/>
        <v>56228.088000000091</v>
      </c>
      <c r="H79" s="12">
        <v>738.3900000000001</v>
      </c>
      <c r="I79" s="12">
        <f t="shared" si="12"/>
        <v>186.82999999999993</v>
      </c>
      <c r="K79" s="84">
        <v>42856</v>
      </c>
      <c r="L79" s="12">
        <f t="shared" si="21"/>
        <v>544.91771084337404</v>
      </c>
      <c r="M79" s="12">
        <v>7.1479999999999952</v>
      </c>
      <c r="N79" s="12">
        <v>1.8120000000000056</v>
      </c>
      <c r="P79" s="84">
        <v>42856</v>
      </c>
      <c r="Q79" s="12">
        <f t="shared" si="22"/>
        <v>109582.97527829841</v>
      </c>
      <c r="R79" s="12">
        <f t="shared" si="13"/>
        <v>1397.8845227062097</v>
      </c>
      <c r="S79" s="12">
        <f t="shared" si="23"/>
        <v>397.16547729379022</v>
      </c>
      <c r="T79" s="85">
        <f t="shared" si="17"/>
        <v>38315.73252270653</v>
      </c>
      <c r="U79" s="85">
        <f t="shared" si="18"/>
        <v>9743.5174772934697</v>
      </c>
      <c r="W79" s="85">
        <f t="shared" si="19"/>
        <v>38.315732522706533</v>
      </c>
      <c r="X79" s="85">
        <f t="shared" si="20"/>
        <v>9.7435174772934694</v>
      </c>
    </row>
    <row r="80" spans="1:24">
      <c r="A80" s="84">
        <v>42887</v>
      </c>
      <c r="B80" s="12">
        <f t="shared" si="14"/>
        <v>2718640.2299999897</v>
      </c>
      <c r="C80" s="12">
        <v>36292.630000000318</v>
      </c>
      <c r="D80" s="12">
        <f t="shared" ref="D80:D121" si="24">45330.02-C80</f>
        <v>9037.3899999996793</v>
      </c>
      <c r="F80" s="84">
        <v>42887</v>
      </c>
      <c r="G80" s="12">
        <f t="shared" si="16"/>
        <v>55489.698000000091</v>
      </c>
      <c r="H80" s="12">
        <v>740.83500000000026</v>
      </c>
      <c r="I80" s="12">
        <f t="shared" ref="I80:I121" si="25">925.22-H80</f>
        <v>184.38499999999976</v>
      </c>
      <c r="K80" s="84">
        <v>42887</v>
      </c>
      <c r="L80" s="12">
        <f t="shared" si="21"/>
        <v>537.76971084337401</v>
      </c>
      <c r="M80" s="12">
        <v>7.1709999999999949</v>
      </c>
      <c r="N80" s="12">
        <v>1.7890000000000059</v>
      </c>
      <c r="P80" s="84">
        <v>42887</v>
      </c>
      <c r="Q80" s="12">
        <f t="shared" si="22"/>
        <v>108185.0907555922</v>
      </c>
      <c r="R80" s="12">
        <f t="shared" ref="R80:R121" si="26">+R79+3.74</f>
        <v>1401.6245227062097</v>
      </c>
      <c r="S80" s="12">
        <f t="shared" si="23"/>
        <v>393.42547729379021</v>
      </c>
      <c r="T80" s="85">
        <f t="shared" si="17"/>
        <v>38442.260522706529</v>
      </c>
      <c r="U80" s="85">
        <f t="shared" si="18"/>
        <v>9616.9894772934695</v>
      </c>
      <c r="W80" s="85">
        <f t="shared" si="19"/>
        <v>38.442260522706526</v>
      </c>
      <c r="X80" s="85">
        <f t="shared" si="20"/>
        <v>9.616989477293469</v>
      </c>
    </row>
    <row r="81" spans="1:24">
      <c r="A81" s="84">
        <v>42917</v>
      </c>
      <c r="B81" s="12">
        <f t="shared" ref="B81:B122" si="27">+B80-C80</f>
        <v>2682347.5999999894</v>
      </c>
      <c r="C81" s="12">
        <v>36413.380000000318</v>
      </c>
      <c r="D81" s="12">
        <f t="shared" si="24"/>
        <v>8916.6399999996793</v>
      </c>
      <c r="F81" s="84">
        <v>42917</v>
      </c>
      <c r="G81" s="12">
        <f t="shared" si="16"/>
        <v>54748.863000000092</v>
      </c>
      <c r="H81" s="12">
        <v>743.28300000000047</v>
      </c>
      <c r="I81" s="12">
        <f t="shared" si="25"/>
        <v>181.93699999999956</v>
      </c>
      <c r="K81" s="84">
        <v>42917</v>
      </c>
      <c r="L81" s="12">
        <f t="shared" si="21"/>
        <v>530.59871084337396</v>
      </c>
      <c r="M81" s="12">
        <v>7.1939999999999946</v>
      </c>
      <c r="N81" s="12">
        <v>1.7660000000000062</v>
      </c>
      <c r="P81" s="84">
        <v>42917</v>
      </c>
      <c r="Q81" s="12">
        <f t="shared" si="22"/>
        <v>106783.466232886</v>
      </c>
      <c r="R81" s="12">
        <f t="shared" si="26"/>
        <v>1405.3645227062098</v>
      </c>
      <c r="S81" s="12">
        <f t="shared" si="23"/>
        <v>389.6854772937902</v>
      </c>
      <c r="T81" s="85">
        <f t="shared" si="17"/>
        <v>38569.221522706524</v>
      </c>
      <c r="U81" s="85">
        <f t="shared" si="18"/>
        <v>9490.0284772934683</v>
      </c>
      <c r="W81" s="85">
        <f t="shared" si="19"/>
        <v>38.569221522706528</v>
      </c>
      <c r="X81" s="85">
        <f t="shared" si="20"/>
        <v>9.4900284772934675</v>
      </c>
    </row>
    <row r="82" spans="1:24">
      <c r="A82" s="84">
        <v>42948</v>
      </c>
      <c r="B82" s="12">
        <f t="shared" si="27"/>
        <v>2645934.219999989</v>
      </c>
      <c r="C82" s="12">
        <v>36534.560000000318</v>
      </c>
      <c r="D82" s="12">
        <f t="shared" si="24"/>
        <v>8795.459999999679</v>
      </c>
      <c r="F82" s="84">
        <v>42948</v>
      </c>
      <c r="G82" s="12">
        <f t="shared" si="16"/>
        <v>54005.580000000089</v>
      </c>
      <c r="H82" s="12">
        <v>745.73400000000072</v>
      </c>
      <c r="I82" s="12">
        <f t="shared" si="25"/>
        <v>179.48599999999931</v>
      </c>
      <c r="K82" s="84">
        <v>42948</v>
      </c>
      <c r="L82" s="12">
        <f t="shared" si="21"/>
        <v>523.404710843374</v>
      </c>
      <c r="M82" s="12">
        <v>7.2169999999999943</v>
      </c>
      <c r="N82" s="12">
        <v>1.7430000000000065</v>
      </c>
      <c r="P82" s="84">
        <v>42948</v>
      </c>
      <c r="Q82" s="12">
        <f t="shared" si="22"/>
        <v>105378.10171017979</v>
      </c>
      <c r="R82" s="12">
        <f t="shared" si="26"/>
        <v>1409.1045227062098</v>
      </c>
      <c r="S82" s="12">
        <f t="shared" si="23"/>
        <v>385.94547729379019</v>
      </c>
      <c r="T82" s="85">
        <f t="shared" si="17"/>
        <v>38696.615522706532</v>
      </c>
      <c r="U82" s="85">
        <f t="shared" si="18"/>
        <v>9362.6344772934681</v>
      </c>
      <c r="W82" s="85">
        <f t="shared" si="19"/>
        <v>38.69661552270653</v>
      </c>
      <c r="X82" s="85">
        <f t="shared" si="20"/>
        <v>9.3626344772934686</v>
      </c>
    </row>
    <row r="83" spans="1:24">
      <c r="A83" s="84">
        <v>42979</v>
      </c>
      <c r="B83" s="12">
        <f t="shared" si="27"/>
        <v>2609399.6599999885</v>
      </c>
      <c r="C83" s="12">
        <v>36656.170000000318</v>
      </c>
      <c r="D83" s="12">
        <f t="shared" si="24"/>
        <v>8673.8499999996784</v>
      </c>
      <c r="F83" s="84">
        <v>42979</v>
      </c>
      <c r="G83" s="12">
        <f t="shared" si="16"/>
        <v>53259.846000000085</v>
      </c>
      <c r="H83" s="12">
        <v>748.18800000000101</v>
      </c>
      <c r="I83" s="12">
        <f t="shared" si="25"/>
        <v>177.03199999999902</v>
      </c>
      <c r="K83" s="84">
        <v>42979</v>
      </c>
      <c r="L83" s="12">
        <f t="shared" si="21"/>
        <v>516.18771084337402</v>
      </c>
      <c r="M83" s="12">
        <v>7.239999999999994</v>
      </c>
      <c r="N83" s="12">
        <v>1.7200000000000069</v>
      </c>
      <c r="P83" s="84">
        <v>42979</v>
      </c>
      <c r="Q83" s="12">
        <f t="shared" si="22"/>
        <v>103968.99718747358</v>
      </c>
      <c r="R83" s="12">
        <f t="shared" si="26"/>
        <v>1412.8445227062098</v>
      </c>
      <c r="S83" s="12">
        <f t="shared" si="23"/>
        <v>382.20547729379018</v>
      </c>
      <c r="T83" s="85">
        <f t="shared" si="17"/>
        <v>38824.442522706529</v>
      </c>
      <c r="U83" s="85">
        <f t="shared" si="18"/>
        <v>9234.8074772934669</v>
      </c>
      <c r="W83" s="85">
        <f t="shared" si="19"/>
        <v>38.824442522706526</v>
      </c>
      <c r="X83" s="85">
        <f t="shared" si="20"/>
        <v>9.234807477293467</v>
      </c>
    </row>
    <row r="84" spans="1:24">
      <c r="A84" s="84">
        <v>43009</v>
      </c>
      <c r="B84" s="12">
        <f t="shared" si="27"/>
        <v>2572743.4899999881</v>
      </c>
      <c r="C84" s="12">
        <v>36778.210000000319</v>
      </c>
      <c r="D84" s="12">
        <f t="shared" si="24"/>
        <v>8551.8099999996775</v>
      </c>
      <c r="F84" s="84">
        <v>43009</v>
      </c>
      <c r="G84" s="12">
        <f t="shared" si="16"/>
        <v>52511.658000000083</v>
      </c>
      <c r="H84" s="12">
        <v>750.64500000000135</v>
      </c>
      <c r="I84" s="12">
        <f t="shared" si="25"/>
        <v>174.57499999999868</v>
      </c>
      <c r="K84" s="84">
        <v>43009</v>
      </c>
      <c r="L84" s="12">
        <f t="shared" si="21"/>
        <v>508.94771084337401</v>
      </c>
      <c r="M84" s="12">
        <v>7.2629999999999937</v>
      </c>
      <c r="N84" s="12">
        <v>1.6970000000000072</v>
      </c>
      <c r="P84" s="84">
        <v>43009</v>
      </c>
      <c r="Q84" s="12">
        <f t="shared" si="22"/>
        <v>102556.15266476737</v>
      </c>
      <c r="R84" s="12">
        <f t="shared" si="26"/>
        <v>1416.5845227062098</v>
      </c>
      <c r="S84" s="12">
        <f t="shared" si="23"/>
        <v>378.46547729379017</v>
      </c>
      <c r="T84" s="85">
        <f t="shared" si="17"/>
        <v>38952.702522706531</v>
      </c>
      <c r="U84" s="85">
        <f t="shared" si="18"/>
        <v>9106.5474772934667</v>
      </c>
      <c r="W84" s="85">
        <f t="shared" si="19"/>
        <v>38.952702522706531</v>
      </c>
      <c r="X84" s="85">
        <f t="shared" si="20"/>
        <v>9.106547477293466</v>
      </c>
    </row>
    <row r="85" spans="1:24">
      <c r="A85" s="84">
        <v>43040</v>
      </c>
      <c r="B85" s="12">
        <f t="shared" si="27"/>
        <v>2535965.2799999877</v>
      </c>
      <c r="C85" s="12">
        <v>36900.650000000322</v>
      </c>
      <c r="D85" s="12">
        <f t="shared" si="24"/>
        <v>8429.3699999996752</v>
      </c>
      <c r="F85" s="84">
        <v>43040</v>
      </c>
      <c r="G85" s="12">
        <f t="shared" si="16"/>
        <v>51761.013000000079</v>
      </c>
      <c r="H85" s="12">
        <v>753.10500000000172</v>
      </c>
      <c r="I85" s="12">
        <f t="shared" si="25"/>
        <v>172.1149999999983</v>
      </c>
      <c r="K85" s="84">
        <v>43040</v>
      </c>
      <c r="L85" s="12">
        <f t="shared" si="21"/>
        <v>501.68471084337403</v>
      </c>
      <c r="M85" s="12">
        <v>7.2859999999999934</v>
      </c>
      <c r="N85" s="12">
        <v>1.6740000000000075</v>
      </c>
      <c r="P85" s="84">
        <v>43040</v>
      </c>
      <c r="Q85" s="12">
        <f t="shared" si="22"/>
        <v>101139.56814206117</v>
      </c>
      <c r="R85" s="12">
        <f t="shared" si="26"/>
        <v>1420.3245227062098</v>
      </c>
      <c r="S85" s="12">
        <f t="shared" si="23"/>
        <v>374.72547729379016</v>
      </c>
      <c r="T85" s="85">
        <f t="shared" si="17"/>
        <v>39081.365522706532</v>
      </c>
      <c r="U85" s="85">
        <f t="shared" si="18"/>
        <v>8977.8844772934644</v>
      </c>
      <c r="W85" s="85">
        <f t="shared" si="19"/>
        <v>39.081365522706534</v>
      </c>
      <c r="X85" s="85">
        <f t="shared" si="20"/>
        <v>8.9778844772934647</v>
      </c>
    </row>
    <row r="86" spans="1:24">
      <c r="A86" s="84">
        <v>43070</v>
      </c>
      <c r="B86" s="12">
        <f t="shared" si="27"/>
        <v>2499064.6299999873</v>
      </c>
      <c r="C86" s="12">
        <v>37023.490000000325</v>
      </c>
      <c r="D86" s="12">
        <f t="shared" si="24"/>
        <v>8306.5299999996714</v>
      </c>
      <c r="F86" s="84">
        <v>43070</v>
      </c>
      <c r="G86" s="12">
        <f t="shared" si="16"/>
        <v>51007.908000000076</v>
      </c>
      <c r="H86" s="12">
        <v>755.56800000000214</v>
      </c>
      <c r="I86" s="12">
        <f t="shared" si="25"/>
        <v>169.65199999999788</v>
      </c>
      <c r="K86" s="84">
        <v>43070</v>
      </c>
      <c r="L86" s="12">
        <f t="shared" si="21"/>
        <v>494.39871084337403</v>
      </c>
      <c r="M86" s="12">
        <v>7.3089999999999931</v>
      </c>
      <c r="N86" s="12">
        <v>1.6510000000000078</v>
      </c>
      <c r="P86" s="84">
        <v>43070</v>
      </c>
      <c r="Q86" s="12">
        <f t="shared" si="22"/>
        <v>99719.243619354951</v>
      </c>
      <c r="R86" s="12">
        <f t="shared" si="26"/>
        <v>1424.0645227062098</v>
      </c>
      <c r="S86" s="12">
        <f t="shared" si="23"/>
        <v>370.98547729379015</v>
      </c>
      <c r="T86" s="85">
        <f t="shared" si="17"/>
        <v>39210.431522706538</v>
      </c>
      <c r="U86" s="85">
        <f t="shared" si="18"/>
        <v>8848.8184772934601</v>
      </c>
      <c r="W86" s="85">
        <f t="shared" si="19"/>
        <v>39.210431522706536</v>
      </c>
      <c r="X86" s="85">
        <f t="shared" si="20"/>
        <v>8.8488184772934595</v>
      </c>
    </row>
    <row r="87" spans="1:24">
      <c r="A87" s="84">
        <v>43101</v>
      </c>
      <c r="B87" s="12">
        <f t="shared" si="27"/>
        <v>2462041.1399999871</v>
      </c>
      <c r="C87" s="12">
        <v>37146.730000000331</v>
      </c>
      <c r="D87" s="12">
        <f t="shared" si="24"/>
        <v>8183.2899999996662</v>
      </c>
      <c r="F87" s="84">
        <v>43101</v>
      </c>
      <c r="G87" s="12">
        <f t="shared" ref="G87:G122" si="28">+G86-H86</f>
        <v>50252.340000000077</v>
      </c>
      <c r="H87" s="12">
        <v>758.03400000000261</v>
      </c>
      <c r="I87" s="12">
        <f t="shared" si="25"/>
        <v>167.18599999999742</v>
      </c>
      <c r="K87" s="84">
        <v>43101</v>
      </c>
      <c r="L87" s="12">
        <f t="shared" si="21"/>
        <v>487.08971084337406</v>
      </c>
      <c r="M87" s="12">
        <v>7.3319999999999927</v>
      </c>
      <c r="N87" s="12">
        <v>1.6280000000000081</v>
      </c>
      <c r="P87" s="84">
        <v>43101</v>
      </c>
      <c r="Q87" s="12">
        <f t="shared" si="22"/>
        <v>98295.179096648746</v>
      </c>
      <c r="R87" s="12">
        <f t="shared" si="26"/>
        <v>1427.8045227062098</v>
      </c>
      <c r="S87" s="12">
        <f t="shared" si="23"/>
        <v>367.24547729379015</v>
      </c>
      <c r="T87" s="85">
        <f t="shared" si="17"/>
        <v>39339.900522706543</v>
      </c>
      <c r="U87" s="85">
        <f t="shared" si="18"/>
        <v>8719.3494772934537</v>
      </c>
      <c r="W87" s="85">
        <f t="shared" si="19"/>
        <v>39.339900522706543</v>
      </c>
      <c r="X87" s="85">
        <f t="shared" si="20"/>
        <v>8.7193494772934539</v>
      </c>
    </row>
    <row r="88" spans="1:24">
      <c r="A88" s="84">
        <v>43132</v>
      </c>
      <c r="B88" s="12">
        <f t="shared" si="27"/>
        <v>2424894.4099999866</v>
      </c>
      <c r="C88" s="12">
        <v>37270.304000000338</v>
      </c>
      <c r="D88" s="12">
        <f t="shared" si="24"/>
        <v>8059.7159999996584</v>
      </c>
      <c r="F88" s="84">
        <v>43132</v>
      </c>
      <c r="G88" s="12">
        <f t="shared" si="28"/>
        <v>49494.306000000077</v>
      </c>
      <c r="H88" s="12">
        <v>760.69</v>
      </c>
      <c r="I88" s="12">
        <f t="shared" si="25"/>
        <v>164.52999999999997</v>
      </c>
      <c r="K88" s="84">
        <v>43132</v>
      </c>
      <c r="L88" s="12">
        <f t="shared" si="21"/>
        <v>479.75771084337407</v>
      </c>
      <c r="M88" s="12">
        <v>7.3579999999999925</v>
      </c>
      <c r="N88" s="12">
        <v>1.6020000000000083</v>
      </c>
      <c r="P88" s="84">
        <v>43132</v>
      </c>
      <c r="Q88" s="12">
        <f t="shared" si="22"/>
        <v>96867.374573942536</v>
      </c>
      <c r="R88" s="12">
        <f t="shared" si="26"/>
        <v>1431.5445227062098</v>
      </c>
      <c r="S88" s="12">
        <f t="shared" si="23"/>
        <v>363.50547729379014</v>
      </c>
      <c r="T88" s="85">
        <f t="shared" si="17"/>
        <v>39469.896522706549</v>
      </c>
      <c r="U88" s="85">
        <f t="shared" si="18"/>
        <v>8589.353477293449</v>
      </c>
      <c r="W88" s="85">
        <f t="shared" si="19"/>
        <v>39.469896522706549</v>
      </c>
      <c r="X88" s="85">
        <f t="shared" si="20"/>
        <v>8.5893534772934483</v>
      </c>
    </row>
    <row r="89" spans="1:24">
      <c r="A89" s="84">
        <v>43160</v>
      </c>
      <c r="B89" s="12">
        <f t="shared" si="27"/>
        <v>2387624.1059999862</v>
      </c>
      <c r="C89" s="12">
        <v>37394.212000000349</v>
      </c>
      <c r="D89" s="12">
        <f t="shared" si="24"/>
        <v>7935.807999999648</v>
      </c>
      <c r="F89" s="84">
        <v>43160</v>
      </c>
      <c r="G89" s="12">
        <f t="shared" si="28"/>
        <v>48733.616000000075</v>
      </c>
      <c r="H89" s="12">
        <v>763.22</v>
      </c>
      <c r="I89" s="12">
        <f t="shared" si="25"/>
        <v>162</v>
      </c>
      <c r="K89" s="84">
        <v>43160</v>
      </c>
      <c r="L89" s="12">
        <f t="shared" si="21"/>
        <v>472.39971084337407</v>
      </c>
      <c r="M89" s="12">
        <v>7.3839999999999923</v>
      </c>
      <c r="N89" s="12">
        <v>1.5760000000000085</v>
      </c>
      <c r="P89" s="84">
        <v>43160</v>
      </c>
      <c r="Q89" s="12">
        <f t="shared" si="22"/>
        <v>95435.83005123632</v>
      </c>
      <c r="R89" s="12">
        <f t="shared" si="26"/>
        <v>1435.2845227062098</v>
      </c>
      <c r="S89" s="12">
        <f t="shared" si="23"/>
        <v>359.76547729379013</v>
      </c>
      <c r="T89" s="85">
        <f t="shared" si="17"/>
        <v>39600.100522706562</v>
      </c>
      <c r="U89" s="85">
        <f t="shared" si="18"/>
        <v>8459.1494772934384</v>
      </c>
      <c r="W89" s="85">
        <f t="shared" si="19"/>
        <v>39.600100522706562</v>
      </c>
      <c r="X89" s="85">
        <f t="shared" si="20"/>
        <v>8.4591494772934386</v>
      </c>
    </row>
    <row r="90" spans="1:24">
      <c r="A90" s="84">
        <v>43191</v>
      </c>
      <c r="B90" s="12">
        <f t="shared" si="27"/>
        <v>2350229.8939999859</v>
      </c>
      <c r="C90" s="12">
        <v>37518.454000000362</v>
      </c>
      <c r="D90" s="12">
        <f t="shared" si="24"/>
        <v>7811.5659999996351</v>
      </c>
      <c r="F90" s="84">
        <v>43191</v>
      </c>
      <c r="G90" s="12">
        <f t="shared" si="28"/>
        <v>47970.396000000073</v>
      </c>
      <c r="H90" s="12">
        <v>765.755</v>
      </c>
      <c r="I90" s="12">
        <f t="shared" si="25"/>
        <v>159.46500000000003</v>
      </c>
      <c r="K90" s="84">
        <v>43191</v>
      </c>
      <c r="L90" s="12">
        <f t="shared" si="21"/>
        <v>465.01571084337405</v>
      </c>
      <c r="M90" s="12">
        <v>7.4099999999999921</v>
      </c>
      <c r="N90" s="12">
        <v>1.5500000000000087</v>
      </c>
      <c r="P90" s="84">
        <v>43191</v>
      </c>
      <c r="Q90" s="12">
        <f t="shared" si="22"/>
        <v>94000.545528530114</v>
      </c>
      <c r="R90" s="12">
        <f t="shared" si="26"/>
        <v>1439.0245227062098</v>
      </c>
      <c r="S90" s="12">
        <f t="shared" si="23"/>
        <v>356.02547729379012</v>
      </c>
      <c r="T90" s="85">
        <f t="shared" si="17"/>
        <v>39730.643522706574</v>
      </c>
      <c r="U90" s="85">
        <f t="shared" si="18"/>
        <v>8328.606477293426</v>
      </c>
      <c r="W90" s="85">
        <f t="shared" si="19"/>
        <v>39.730643522706572</v>
      </c>
      <c r="X90" s="85">
        <f t="shared" si="20"/>
        <v>8.3286064772934267</v>
      </c>
    </row>
    <row r="91" spans="1:24">
      <c r="A91" s="84">
        <v>43221</v>
      </c>
      <c r="B91" s="12">
        <f t="shared" si="27"/>
        <v>2312711.4399999855</v>
      </c>
      <c r="C91" s="12">
        <v>37643.030000000377</v>
      </c>
      <c r="D91" s="12">
        <f t="shared" si="24"/>
        <v>7686.9899999996196</v>
      </c>
      <c r="F91" s="84">
        <v>43221</v>
      </c>
      <c r="G91" s="12">
        <f t="shared" si="28"/>
        <v>47204.641000000076</v>
      </c>
      <c r="H91" s="12">
        <v>768.29499999999996</v>
      </c>
      <c r="I91" s="12">
        <f t="shared" si="25"/>
        <v>156.92500000000007</v>
      </c>
      <c r="K91" s="84">
        <v>43221</v>
      </c>
      <c r="L91" s="12">
        <f t="shared" si="21"/>
        <v>457.60571084337408</v>
      </c>
      <c r="M91" s="12">
        <v>7.4359999999999919</v>
      </c>
      <c r="N91" s="12">
        <v>1.5240000000000089</v>
      </c>
      <c r="P91" s="84">
        <v>43221</v>
      </c>
      <c r="Q91" s="12">
        <f t="shared" si="22"/>
        <v>92561.521005823903</v>
      </c>
      <c r="R91" s="12">
        <f t="shared" si="26"/>
        <v>1442.7645227062098</v>
      </c>
      <c r="S91" s="12">
        <f t="shared" si="23"/>
        <v>352.28547729379011</v>
      </c>
      <c r="T91" s="85">
        <f t="shared" si="17"/>
        <v>39861.525522706586</v>
      </c>
      <c r="U91" s="85">
        <f t="shared" si="18"/>
        <v>8197.72447729341</v>
      </c>
      <c r="W91" s="85">
        <f t="shared" si="19"/>
        <v>39.861525522706586</v>
      </c>
      <c r="X91" s="85">
        <f t="shared" si="20"/>
        <v>8.1977244772934093</v>
      </c>
    </row>
    <row r="92" spans="1:24">
      <c r="A92" s="84">
        <v>43252</v>
      </c>
      <c r="B92" s="12">
        <f t="shared" si="27"/>
        <v>2275068.4099999852</v>
      </c>
      <c r="C92" s="12">
        <v>37767.940000000395</v>
      </c>
      <c r="D92" s="12">
        <f t="shared" si="24"/>
        <v>7562.0799999996016</v>
      </c>
      <c r="F92" s="84">
        <v>43252</v>
      </c>
      <c r="G92" s="12">
        <f t="shared" si="28"/>
        <v>46436.346000000078</v>
      </c>
      <c r="H92" s="12">
        <v>770.83999999999992</v>
      </c>
      <c r="I92" s="12">
        <f t="shared" si="25"/>
        <v>154.38000000000011</v>
      </c>
      <c r="K92" s="84">
        <v>43252</v>
      </c>
      <c r="L92" s="12">
        <f t="shared" si="21"/>
        <v>450.16971084337411</v>
      </c>
      <c r="M92" s="12">
        <v>7.4619999999999918</v>
      </c>
      <c r="N92" s="12">
        <v>1.4980000000000091</v>
      </c>
      <c r="P92" s="84">
        <v>43252</v>
      </c>
      <c r="Q92" s="12">
        <f t="shared" si="22"/>
        <v>91118.756483117686</v>
      </c>
      <c r="R92" s="12">
        <f t="shared" si="26"/>
        <v>1446.5045227062099</v>
      </c>
      <c r="S92" s="12">
        <f t="shared" si="23"/>
        <v>348.5454772937901</v>
      </c>
      <c r="T92" s="85">
        <f t="shared" si="17"/>
        <v>39992.746522706606</v>
      </c>
      <c r="U92" s="85">
        <f t="shared" si="18"/>
        <v>8066.5034772933914</v>
      </c>
      <c r="W92" s="85">
        <f t="shared" si="19"/>
        <v>39.992746522706604</v>
      </c>
      <c r="X92" s="85">
        <f t="shared" si="20"/>
        <v>8.0665034772933915</v>
      </c>
    </row>
    <row r="93" spans="1:24">
      <c r="A93" s="84">
        <v>43282</v>
      </c>
      <c r="B93" s="12">
        <f t="shared" si="27"/>
        <v>2237300.4699999848</v>
      </c>
      <c r="C93" s="12">
        <v>37893.184000000416</v>
      </c>
      <c r="D93" s="12">
        <f t="shared" si="24"/>
        <v>7436.835999999581</v>
      </c>
      <c r="F93" s="84">
        <v>43282</v>
      </c>
      <c r="G93" s="12">
        <f t="shared" si="28"/>
        <v>45665.506000000081</v>
      </c>
      <c r="H93" s="12">
        <v>773.38999999999987</v>
      </c>
      <c r="I93" s="12">
        <f t="shared" si="25"/>
        <v>151.83000000000015</v>
      </c>
      <c r="K93" s="84">
        <v>43282</v>
      </c>
      <c r="L93" s="12">
        <f t="shared" si="21"/>
        <v>442.70771084337412</v>
      </c>
      <c r="M93" s="12">
        <v>7.4879999999999916</v>
      </c>
      <c r="N93" s="12">
        <v>1.4720000000000093</v>
      </c>
      <c r="P93" s="84">
        <v>43282</v>
      </c>
      <c r="Q93" s="12">
        <f t="shared" si="22"/>
        <v>89672.251960411479</v>
      </c>
      <c r="R93" s="12">
        <f t="shared" si="26"/>
        <v>1450.2445227062099</v>
      </c>
      <c r="S93" s="12">
        <f t="shared" si="23"/>
        <v>344.80547729379009</v>
      </c>
      <c r="T93" s="85">
        <f t="shared" si="17"/>
        <v>40124.306522706625</v>
      </c>
      <c r="U93" s="85">
        <f t="shared" si="18"/>
        <v>7934.943477293371</v>
      </c>
      <c r="W93" s="85">
        <f t="shared" si="19"/>
        <v>40.124306522706625</v>
      </c>
      <c r="X93" s="85">
        <f t="shared" si="20"/>
        <v>7.9349434772933707</v>
      </c>
    </row>
    <row r="94" spans="1:24">
      <c r="A94" s="84">
        <v>43313</v>
      </c>
      <c r="B94" s="12">
        <f t="shared" si="27"/>
        <v>2199407.2859999845</v>
      </c>
      <c r="C94" s="12">
        <v>38018.762000000439</v>
      </c>
      <c r="D94" s="12">
        <f t="shared" si="24"/>
        <v>7311.2579999995578</v>
      </c>
      <c r="F94" s="84">
        <v>43313</v>
      </c>
      <c r="G94" s="12">
        <f t="shared" si="28"/>
        <v>44892.116000000082</v>
      </c>
      <c r="H94" s="12">
        <v>775.94499999999982</v>
      </c>
      <c r="I94" s="12">
        <f t="shared" si="25"/>
        <v>149.2750000000002</v>
      </c>
      <c r="K94" s="84">
        <v>43313</v>
      </c>
      <c r="L94" s="12">
        <f t="shared" si="21"/>
        <v>435.21971084337412</v>
      </c>
      <c r="M94" s="12">
        <v>7.5139999999999914</v>
      </c>
      <c r="N94" s="12">
        <v>1.4460000000000095</v>
      </c>
      <c r="P94" s="84">
        <v>43313</v>
      </c>
      <c r="Q94" s="12">
        <f t="shared" si="22"/>
        <v>88222.007437705266</v>
      </c>
      <c r="R94" s="12">
        <f t="shared" si="26"/>
        <v>1453.9845227062099</v>
      </c>
      <c r="S94" s="12">
        <f t="shared" si="23"/>
        <v>341.06547729379008</v>
      </c>
      <c r="T94" s="85">
        <f t="shared" si="17"/>
        <v>40256.205522706645</v>
      </c>
      <c r="U94" s="85">
        <f t="shared" si="18"/>
        <v>7803.0444772933479</v>
      </c>
      <c r="W94" s="85">
        <f t="shared" si="19"/>
        <v>40.256205522706644</v>
      </c>
      <c r="X94" s="85">
        <f t="shared" si="20"/>
        <v>7.8030444772933478</v>
      </c>
    </row>
    <row r="95" spans="1:24">
      <c r="A95" s="84">
        <v>43344</v>
      </c>
      <c r="B95" s="12">
        <f t="shared" si="27"/>
        <v>2161388.5239999839</v>
      </c>
      <c r="C95" s="12">
        <v>38144.674000000465</v>
      </c>
      <c r="D95" s="12">
        <f t="shared" si="24"/>
        <v>7185.3459999995321</v>
      </c>
      <c r="F95" s="84">
        <v>43344</v>
      </c>
      <c r="G95" s="12">
        <f t="shared" si="28"/>
        <v>44116.171000000082</v>
      </c>
      <c r="H95" s="12">
        <v>778.50499999999977</v>
      </c>
      <c r="I95" s="12">
        <f t="shared" si="25"/>
        <v>146.71500000000026</v>
      </c>
      <c r="K95" s="84">
        <v>43344</v>
      </c>
      <c r="L95" s="12">
        <f t="shared" si="21"/>
        <v>427.70571084337411</v>
      </c>
      <c r="M95" s="12">
        <v>7.5399999999999912</v>
      </c>
      <c r="N95" s="12">
        <v>1.4200000000000097</v>
      </c>
      <c r="P95" s="84">
        <v>43344</v>
      </c>
      <c r="Q95" s="12">
        <f t="shared" si="22"/>
        <v>86768.022914999063</v>
      </c>
      <c r="R95" s="12">
        <f t="shared" si="26"/>
        <v>1457.7245227062099</v>
      </c>
      <c r="S95" s="12">
        <f t="shared" si="23"/>
        <v>337.32547729379007</v>
      </c>
      <c r="T95" s="85">
        <f t="shared" si="17"/>
        <v>40388.443522706672</v>
      </c>
      <c r="U95" s="85">
        <f t="shared" si="18"/>
        <v>7670.8064772933221</v>
      </c>
      <c r="W95" s="85">
        <f t="shared" si="19"/>
        <v>40.388443522706673</v>
      </c>
      <c r="X95" s="85">
        <f t="shared" si="20"/>
        <v>7.670806477293322</v>
      </c>
    </row>
    <row r="96" spans="1:24">
      <c r="A96" s="84">
        <v>43374</v>
      </c>
      <c r="B96" s="12">
        <f t="shared" si="27"/>
        <v>2123243.8499999833</v>
      </c>
      <c r="C96" s="12">
        <v>38270.920000000493</v>
      </c>
      <c r="D96" s="12">
        <f t="shared" si="24"/>
        <v>7059.0999999995038</v>
      </c>
      <c r="F96" s="84">
        <v>43374</v>
      </c>
      <c r="G96" s="12">
        <f t="shared" si="28"/>
        <v>43337.666000000085</v>
      </c>
      <c r="H96" s="12">
        <v>781.06999999999971</v>
      </c>
      <c r="I96" s="12">
        <f t="shared" si="25"/>
        <v>144.15000000000032</v>
      </c>
      <c r="K96" s="84">
        <v>43374</v>
      </c>
      <c r="L96" s="12">
        <f t="shared" si="21"/>
        <v>420.16571084337414</v>
      </c>
      <c r="M96" s="12">
        <v>7.565999999999991</v>
      </c>
      <c r="N96" s="12">
        <v>1.3940000000000099</v>
      </c>
      <c r="P96" s="84">
        <v>43374</v>
      </c>
      <c r="Q96" s="12">
        <f t="shared" si="22"/>
        <v>85310.298392292854</v>
      </c>
      <c r="R96" s="12">
        <f t="shared" si="26"/>
        <v>1461.4645227062099</v>
      </c>
      <c r="S96" s="12">
        <f t="shared" si="23"/>
        <v>333.58547729379006</v>
      </c>
      <c r="T96" s="85">
        <f t="shared" si="17"/>
        <v>40521.020522706705</v>
      </c>
      <c r="U96" s="85">
        <f t="shared" si="18"/>
        <v>7538.2294772932946</v>
      </c>
      <c r="W96" s="85">
        <f t="shared" si="19"/>
        <v>40.521020522706706</v>
      </c>
      <c r="X96" s="85">
        <f t="shared" si="20"/>
        <v>7.538229477293295</v>
      </c>
    </row>
    <row r="97" spans="1:24">
      <c r="A97" s="84">
        <v>43405</v>
      </c>
      <c r="B97" s="12">
        <f t="shared" si="27"/>
        <v>2084972.9299999829</v>
      </c>
      <c r="C97" s="12">
        <v>38397.500000000524</v>
      </c>
      <c r="D97" s="12">
        <f t="shared" si="24"/>
        <v>6932.5199999994729</v>
      </c>
      <c r="F97" s="84">
        <v>43405</v>
      </c>
      <c r="G97" s="12">
        <f t="shared" si="28"/>
        <v>42556.596000000085</v>
      </c>
      <c r="H97" s="12">
        <v>783.63999999999965</v>
      </c>
      <c r="I97" s="12">
        <f t="shared" si="25"/>
        <v>141.58000000000038</v>
      </c>
      <c r="K97" s="84">
        <v>43405</v>
      </c>
      <c r="L97" s="12">
        <f t="shared" si="21"/>
        <v>412.59971084337417</v>
      </c>
      <c r="M97" s="12">
        <v>7.5919999999999908</v>
      </c>
      <c r="N97" s="12">
        <v>1.3680000000000101</v>
      </c>
      <c r="P97" s="84">
        <v>43405</v>
      </c>
      <c r="Q97" s="12">
        <f t="shared" si="22"/>
        <v>83848.833869586641</v>
      </c>
      <c r="R97" s="12">
        <f t="shared" si="26"/>
        <v>1465.2045227062099</v>
      </c>
      <c r="S97" s="12">
        <f t="shared" si="23"/>
        <v>329.84547729379005</v>
      </c>
      <c r="T97" s="85">
        <f t="shared" si="17"/>
        <v>40653.936522706732</v>
      </c>
      <c r="U97" s="85">
        <f t="shared" si="18"/>
        <v>7405.3134772932635</v>
      </c>
      <c r="W97" s="85">
        <f t="shared" si="19"/>
        <v>40.653936522706729</v>
      </c>
      <c r="X97" s="85">
        <f t="shared" si="20"/>
        <v>7.4053134772932632</v>
      </c>
    </row>
    <row r="98" spans="1:24">
      <c r="A98" s="84">
        <v>43435</v>
      </c>
      <c r="B98" s="12">
        <f t="shared" si="27"/>
        <v>2046575.4299999825</v>
      </c>
      <c r="C98" s="12">
        <v>38524.414000000557</v>
      </c>
      <c r="D98" s="12">
        <f t="shared" si="24"/>
        <v>6805.6059999994395</v>
      </c>
      <c r="F98" s="84">
        <v>43435</v>
      </c>
      <c r="G98" s="12">
        <f t="shared" si="28"/>
        <v>41772.956000000086</v>
      </c>
      <c r="H98" s="12">
        <v>786.21499999999958</v>
      </c>
      <c r="I98" s="12">
        <f t="shared" si="25"/>
        <v>139.00500000000045</v>
      </c>
      <c r="K98" s="84">
        <v>43435</v>
      </c>
      <c r="L98" s="12">
        <f t="shared" si="21"/>
        <v>405.00771084337418</v>
      </c>
      <c r="M98" s="12">
        <v>7.6179999999999906</v>
      </c>
      <c r="N98" s="12">
        <v>1.3420000000000103</v>
      </c>
      <c r="P98" s="84">
        <v>43435</v>
      </c>
      <c r="Q98" s="12">
        <f t="shared" si="22"/>
        <v>82383.629346880436</v>
      </c>
      <c r="R98" s="12">
        <f t="shared" si="26"/>
        <v>1468.9445227062099</v>
      </c>
      <c r="S98" s="12">
        <f t="shared" si="23"/>
        <v>326.10547729379005</v>
      </c>
      <c r="T98" s="85">
        <f t="shared" si="17"/>
        <v>40787.191522706766</v>
      </c>
      <c r="U98" s="85">
        <f t="shared" si="18"/>
        <v>7272.0584772932298</v>
      </c>
      <c r="W98" s="85">
        <f t="shared" si="19"/>
        <v>40.787191522706763</v>
      </c>
      <c r="X98" s="85">
        <f t="shared" si="20"/>
        <v>7.2720584772932302</v>
      </c>
    </row>
    <row r="99" spans="1:24">
      <c r="A99" s="84">
        <v>43466</v>
      </c>
      <c r="B99" s="12">
        <f t="shared" si="27"/>
        <v>2008051.0159999819</v>
      </c>
      <c r="C99" s="12">
        <v>38651.662000000593</v>
      </c>
      <c r="D99" s="12">
        <f t="shared" si="24"/>
        <v>6678.3579999994035</v>
      </c>
      <c r="F99" s="84">
        <v>43466</v>
      </c>
      <c r="G99" s="12">
        <f t="shared" si="28"/>
        <v>40986.741000000089</v>
      </c>
      <c r="H99" s="12">
        <v>788.97</v>
      </c>
      <c r="I99" s="12">
        <f t="shared" si="25"/>
        <v>136.25</v>
      </c>
      <c r="K99" s="84">
        <v>43466</v>
      </c>
      <c r="L99" s="12">
        <f t="shared" si="21"/>
        <v>397.38971084337419</v>
      </c>
      <c r="M99" s="12">
        <v>7.6439999999999904</v>
      </c>
      <c r="N99" s="12">
        <v>1.3160000000000105</v>
      </c>
      <c r="P99" s="84">
        <v>43466</v>
      </c>
      <c r="Q99" s="12">
        <f t="shared" si="22"/>
        <v>80914.684824174226</v>
      </c>
      <c r="R99" s="12">
        <f t="shared" si="26"/>
        <v>1472.6845227062099</v>
      </c>
      <c r="S99" s="12">
        <f t="shared" si="23"/>
        <v>322.36547729379004</v>
      </c>
      <c r="T99" s="85">
        <f t="shared" si="17"/>
        <v>40920.960522706802</v>
      </c>
      <c r="U99" s="85">
        <f t="shared" si="18"/>
        <v>7138.2894772931941</v>
      </c>
      <c r="W99" s="85">
        <f t="shared" si="19"/>
        <v>40.9209605227068</v>
      </c>
      <c r="X99" s="85">
        <f t="shared" si="20"/>
        <v>7.1382894772931937</v>
      </c>
    </row>
    <row r="100" spans="1:24">
      <c r="A100" s="84">
        <v>43497</v>
      </c>
      <c r="B100" s="12">
        <f t="shared" si="27"/>
        <v>1969399.3539999812</v>
      </c>
      <c r="C100" s="12">
        <v>38779.483000000626</v>
      </c>
      <c r="D100" s="12">
        <f t="shared" si="24"/>
        <v>6550.5369999993709</v>
      </c>
      <c r="F100" s="84">
        <v>43497</v>
      </c>
      <c r="G100" s="12">
        <f t="shared" si="28"/>
        <v>40197.771000000088</v>
      </c>
      <c r="H100" s="12">
        <v>791.6</v>
      </c>
      <c r="I100" s="12">
        <f t="shared" si="25"/>
        <v>133.62</v>
      </c>
      <c r="K100" s="84">
        <v>43497</v>
      </c>
      <c r="L100" s="12">
        <f t="shared" si="21"/>
        <v>389.74571084337418</v>
      </c>
      <c r="M100" s="12">
        <v>7.6709999999999896</v>
      </c>
      <c r="N100" s="12">
        <v>1.2890000000000112</v>
      </c>
      <c r="P100" s="84">
        <v>43497</v>
      </c>
      <c r="Q100" s="12">
        <f t="shared" si="22"/>
        <v>79442.000301468011</v>
      </c>
      <c r="R100" s="12">
        <f t="shared" si="26"/>
        <v>1476.4245227062099</v>
      </c>
      <c r="S100" s="12">
        <f t="shared" si="23"/>
        <v>318.62547729379003</v>
      </c>
      <c r="T100" s="85">
        <f t="shared" si="17"/>
        <v>41055.178522706832</v>
      </c>
      <c r="U100" s="85">
        <f t="shared" si="18"/>
        <v>7004.0714772931606</v>
      </c>
      <c r="W100" s="85">
        <f t="shared" si="19"/>
        <v>41.055178522706832</v>
      </c>
      <c r="X100" s="85">
        <f t="shared" si="20"/>
        <v>7.0040714772931603</v>
      </c>
    </row>
    <row r="101" spans="1:24">
      <c r="A101" s="84">
        <v>43525</v>
      </c>
      <c r="B101" s="12">
        <f t="shared" si="27"/>
        <v>1930619.8709999805</v>
      </c>
      <c r="C101" s="12">
        <v>38907.877000000655</v>
      </c>
      <c r="D101" s="12">
        <f t="shared" si="24"/>
        <v>6422.1429999993416</v>
      </c>
      <c r="F101" s="84">
        <v>43525</v>
      </c>
      <c r="G101" s="12">
        <f t="shared" si="28"/>
        <v>39406.171000000089</v>
      </c>
      <c r="H101" s="12">
        <v>794.23</v>
      </c>
      <c r="I101" s="12">
        <f t="shared" si="25"/>
        <v>130.99</v>
      </c>
      <c r="K101" s="84">
        <v>43525</v>
      </c>
      <c r="L101" s="12">
        <f t="shared" si="21"/>
        <v>382.07471084337419</v>
      </c>
      <c r="M101" s="12">
        <v>7.6979999999999889</v>
      </c>
      <c r="N101" s="12">
        <v>1.262000000000012</v>
      </c>
      <c r="P101" s="84">
        <v>43525</v>
      </c>
      <c r="Q101" s="12">
        <f t="shared" si="22"/>
        <v>77965.575778761806</v>
      </c>
      <c r="R101" s="12">
        <f t="shared" si="26"/>
        <v>1480.1645227062099</v>
      </c>
      <c r="S101" s="12">
        <f t="shared" si="23"/>
        <v>314.88547729379002</v>
      </c>
      <c r="T101" s="85">
        <f t="shared" si="17"/>
        <v>41189.969522706866</v>
      </c>
      <c r="U101" s="85">
        <f t="shared" si="18"/>
        <v>6869.2804772931313</v>
      </c>
      <c r="W101" s="85">
        <f t="shared" si="19"/>
        <v>41.189969522706868</v>
      </c>
      <c r="X101" s="85">
        <f t="shared" si="20"/>
        <v>6.8692804772931311</v>
      </c>
    </row>
    <row r="102" spans="1:24">
      <c r="A102" s="84">
        <v>43556</v>
      </c>
      <c r="B102" s="12">
        <f t="shared" si="27"/>
        <v>1891711.9939999799</v>
      </c>
      <c r="C102" s="12">
        <v>39036.844000000681</v>
      </c>
      <c r="D102" s="12">
        <f t="shared" si="24"/>
        <v>6293.1759999993155</v>
      </c>
      <c r="F102" s="84">
        <v>43556</v>
      </c>
      <c r="G102" s="12">
        <f t="shared" si="28"/>
        <v>38611.941000000086</v>
      </c>
      <c r="H102" s="12">
        <v>796.86</v>
      </c>
      <c r="I102" s="12">
        <f t="shared" si="25"/>
        <v>128.36000000000001</v>
      </c>
      <c r="K102" s="84">
        <v>43556</v>
      </c>
      <c r="L102" s="12">
        <f t="shared" si="21"/>
        <v>374.37671084337421</v>
      </c>
      <c r="M102" s="12">
        <v>7.7249999999999881</v>
      </c>
      <c r="N102" s="12">
        <v>1.2350000000000128</v>
      </c>
      <c r="P102" s="84">
        <v>43556</v>
      </c>
      <c r="Q102" s="12">
        <f t="shared" si="22"/>
        <v>76485.411256055595</v>
      </c>
      <c r="R102" s="12">
        <f t="shared" si="26"/>
        <v>1483.9045227062099</v>
      </c>
      <c r="S102" s="12">
        <f t="shared" si="23"/>
        <v>311.14547729379001</v>
      </c>
      <c r="T102" s="85">
        <f t="shared" si="17"/>
        <v>41325.333522706889</v>
      </c>
      <c r="U102" s="85">
        <f t="shared" si="18"/>
        <v>6733.9164772931053</v>
      </c>
      <c r="W102" s="85">
        <f t="shared" si="19"/>
        <v>41.325333522706892</v>
      </c>
      <c r="X102" s="85">
        <f t="shared" si="20"/>
        <v>6.7339164772931053</v>
      </c>
    </row>
    <row r="103" spans="1:24">
      <c r="A103" s="84">
        <v>43586</v>
      </c>
      <c r="B103" s="12">
        <f t="shared" si="27"/>
        <v>1852675.1499999792</v>
      </c>
      <c r="C103" s="12">
        <v>39166.384000000704</v>
      </c>
      <c r="D103" s="12">
        <f t="shared" si="24"/>
        <v>6163.6359999992928</v>
      </c>
      <c r="F103" s="84">
        <v>43586</v>
      </c>
      <c r="G103" s="12">
        <f t="shared" si="28"/>
        <v>37815.081000000086</v>
      </c>
      <c r="H103" s="12">
        <v>799.49</v>
      </c>
      <c r="I103" s="12">
        <f t="shared" si="25"/>
        <v>125.73000000000002</v>
      </c>
      <c r="K103" s="84">
        <v>43586</v>
      </c>
      <c r="L103" s="12">
        <f t="shared" si="21"/>
        <v>366.65171084337425</v>
      </c>
      <c r="M103" s="12">
        <v>7.7519999999999873</v>
      </c>
      <c r="N103" s="12">
        <v>1.2080000000000135</v>
      </c>
      <c r="P103" s="84">
        <v>43586</v>
      </c>
      <c r="Q103" s="12">
        <f t="shared" si="22"/>
        <v>75001.506733349379</v>
      </c>
      <c r="R103" s="12">
        <f t="shared" si="26"/>
        <v>1487.64452270621</v>
      </c>
      <c r="S103" s="12">
        <f t="shared" si="23"/>
        <v>307.40547729379</v>
      </c>
      <c r="T103" s="85">
        <f t="shared" si="17"/>
        <v>41461.270522706916</v>
      </c>
      <c r="U103" s="85">
        <f t="shared" si="18"/>
        <v>6597.9794772930827</v>
      </c>
      <c r="W103" s="85">
        <f t="shared" si="19"/>
        <v>41.461270522706918</v>
      </c>
      <c r="X103" s="85">
        <f t="shared" si="20"/>
        <v>6.5979794772930829</v>
      </c>
    </row>
    <row r="104" spans="1:24">
      <c r="A104" s="84">
        <v>43617</v>
      </c>
      <c r="B104" s="12">
        <f t="shared" si="27"/>
        <v>1813508.7659999784</v>
      </c>
      <c r="C104" s="12">
        <v>39296.497000000723</v>
      </c>
      <c r="D104" s="12">
        <f t="shared" si="24"/>
        <v>6033.5229999992735</v>
      </c>
      <c r="F104" s="84">
        <v>43617</v>
      </c>
      <c r="G104" s="12">
        <f t="shared" si="28"/>
        <v>37015.591000000088</v>
      </c>
      <c r="H104" s="12">
        <v>802.18</v>
      </c>
      <c r="I104" s="12">
        <f t="shared" si="25"/>
        <v>123.04000000000008</v>
      </c>
      <c r="K104" s="84">
        <v>43617</v>
      </c>
      <c r="L104" s="12">
        <f t="shared" si="21"/>
        <v>358.89971084337424</v>
      </c>
      <c r="M104" s="12">
        <v>7.7789999999999866</v>
      </c>
      <c r="N104" s="12">
        <v>1.1810000000000143</v>
      </c>
      <c r="P104" s="84">
        <v>43617</v>
      </c>
      <c r="Q104" s="12">
        <f t="shared" si="22"/>
        <v>73513.862210643172</v>
      </c>
      <c r="R104" s="12">
        <f t="shared" si="26"/>
        <v>1491.38452270621</v>
      </c>
      <c r="S104" s="12">
        <f t="shared" si="23"/>
        <v>303.66547729378999</v>
      </c>
      <c r="T104" s="85">
        <f t="shared" si="17"/>
        <v>41597.840522706931</v>
      </c>
      <c r="U104" s="85">
        <f t="shared" si="18"/>
        <v>6461.4094772930639</v>
      </c>
      <c r="W104" s="85">
        <f t="shared" si="19"/>
        <v>41.597840522706932</v>
      </c>
      <c r="X104" s="85">
        <f t="shared" si="20"/>
        <v>6.4614094772930635</v>
      </c>
    </row>
    <row r="105" spans="1:24">
      <c r="A105" s="84">
        <v>43647</v>
      </c>
      <c r="B105" s="12">
        <f t="shared" si="27"/>
        <v>1774212.2689999777</v>
      </c>
      <c r="C105" s="12">
        <v>39427.183000000739</v>
      </c>
      <c r="D105" s="12">
        <f t="shared" si="24"/>
        <v>5902.8369999992574</v>
      </c>
      <c r="F105" s="84">
        <v>43647</v>
      </c>
      <c r="G105" s="12">
        <f t="shared" si="28"/>
        <v>36213.411000000087</v>
      </c>
      <c r="H105" s="12">
        <v>804.86999999999989</v>
      </c>
      <c r="I105" s="12">
        <f t="shared" si="25"/>
        <v>120.35000000000014</v>
      </c>
      <c r="K105" s="84">
        <v>43647</v>
      </c>
      <c r="L105" s="12">
        <f t="shared" si="21"/>
        <v>351.12071084337424</v>
      </c>
      <c r="M105" s="12">
        <v>7.8059999999999858</v>
      </c>
      <c r="N105" s="12">
        <v>1.154000000000015</v>
      </c>
      <c r="P105" s="84">
        <v>43647</v>
      </c>
      <c r="Q105" s="12">
        <f t="shared" si="22"/>
        <v>72022.47768793696</v>
      </c>
      <c r="R105" s="12">
        <f t="shared" si="26"/>
        <v>1495.12452270621</v>
      </c>
      <c r="S105" s="12">
        <f t="shared" si="23"/>
        <v>299.92547729378998</v>
      </c>
      <c r="T105" s="85">
        <f t="shared" si="17"/>
        <v>41734.983522706949</v>
      </c>
      <c r="U105" s="85">
        <f t="shared" si="18"/>
        <v>6324.2664772930475</v>
      </c>
      <c r="W105" s="85">
        <f t="shared" si="19"/>
        <v>41.734983522706948</v>
      </c>
      <c r="X105" s="85">
        <f t="shared" si="20"/>
        <v>6.3242664772930475</v>
      </c>
    </row>
    <row r="106" spans="1:24">
      <c r="A106" s="84">
        <v>43678</v>
      </c>
      <c r="B106" s="12">
        <f t="shared" si="27"/>
        <v>1734785.0859999771</v>
      </c>
      <c r="C106" s="12">
        <v>39558.442000000752</v>
      </c>
      <c r="D106" s="12">
        <f t="shared" si="24"/>
        <v>5771.5779999992446</v>
      </c>
      <c r="F106" s="84">
        <v>43678</v>
      </c>
      <c r="G106" s="12">
        <f t="shared" si="28"/>
        <v>35408.541000000085</v>
      </c>
      <c r="H106" s="12">
        <v>807.55999999999983</v>
      </c>
      <c r="I106" s="12">
        <f t="shared" si="25"/>
        <v>117.6600000000002</v>
      </c>
      <c r="K106" s="84">
        <v>43678</v>
      </c>
      <c r="L106" s="12">
        <f t="shared" si="21"/>
        <v>343.31471084337426</v>
      </c>
      <c r="M106" s="12">
        <v>7.8329999999999851</v>
      </c>
      <c r="N106" s="12">
        <v>1.1270000000000158</v>
      </c>
      <c r="P106" s="84">
        <v>43678</v>
      </c>
      <c r="Q106" s="12">
        <f t="shared" si="22"/>
        <v>70527.353165230743</v>
      </c>
      <c r="R106" s="12">
        <f t="shared" si="26"/>
        <v>1498.86452270621</v>
      </c>
      <c r="S106" s="12">
        <f t="shared" si="23"/>
        <v>296.18547729378997</v>
      </c>
      <c r="T106" s="85">
        <f t="shared" si="17"/>
        <v>41872.699522706964</v>
      </c>
      <c r="U106" s="85">
        <f t="shared" si="18"/>
        <v>6186.5504772930344</v>
      </c>
      <c r="W106" s="85">
        <f t="shared" si="19"/>
        <v>41.872699522706966</v>
      </c>
      <c r="X106" s="85">
        <f t="shared" si="20"/>
        <v>6.186550477293034</v>
      </c>
    </row>
    <row r="107" spans="1:24">
      <c r="A107" s="84">
        <v>43709</v>
      </c>
      <c r="B107" s="12">
        <f t="shared" si="27"/>
        <v>1695226.6439999763</v>
      </c>
      <c r="C107" s="12">
        <v>39690.274000000762</v>
      </c>
      <c r="D107" s="12">
        <f t="shared" si="24"/>
        <v>5639.7459999992352</v>
      </c>
      <c r="F107" s="84">
        <v>43709</v>
      </c>
      <c r="G107" s="12">
        <f t="shared" si="28"/>
        <v>34600.981000000087</v>
      </c>
      <c r="H107" s="12">
        <v>810.24999999999977</v>
      </c>
      <c r="I107" s="12">
        <f t="shared" si="25"/>
        <v>114.97000000000025</v>
      </c>
      <c r="K107" s="84">
        <v>43709</v>
      </c>
      <c r="L107" s="12">
        <f t="shared" si="21"/>
        <v>335.48171084337429</v>
      </c>
      <c r="M107" s="12">
        <v>7.8599999999999843</v>
      </c>
      <c r="N107" s="12">
        <v>1.1000000000000165</v>
      </c>
      <c r="P107" s="84">
        <v>43709</v>
      </c>
      <c r="Q107" s="12">
        <f t="shared" si="22"/>
        <v>69028.488642524535</v>
      </c>
      <c r="R107" s="12">
        <f t="shared" si="26"/>
        <v>1502.60452270621</v>
      </c>
      <c r="S107" s="12">
        <f t="shared" si="23"/>
        <v>292.44547729378996</v>
      </c>
      <c r="T107" s="85">
        <f t="shared" si="17"/>
        <v>42010.988522706968</v>
      </c>
      <c r="U107" s="85">
        <f t="shared" si="18"/>
        <v>6048.2614772930256</v>
      </c>
      <c r="W107" s="85">
        <f t="shared" si="19"/>
        <v>42.010988522706967</v>
      </c>
      <c r="X107" s="85">
        <f t="shared" si="20"/>
        <v>6.0482614772930257</v>
      </c>
    </row>
    <row r="108" spans="1:24">
      <c r="A108" s="84">
        <v>43739</v>
      </c>
      <c r="B108" s="12">
        <f t="shared" si="27"/>
        <v>1655536.3699999757</v>
      </c>
      <c r="C108" s="12">
        <v>39822.679000000768</v>
      </c>
      <c r="D108" s="12">
        <f t="shared" si="24"/>
        <v>5507.3409999992291</v>
      </c>
      <c r="F108" s="84">
        <v>43739</v>
      </c>
      <c r="G108" s="12">
        <f t="shared" si="28"/>
        <v>33790.731000000087</v>
      </c>
      <c r="H108" s="12">
        <v>812.93999999999971</v>
      </c>
      <c r="I108" s="12">
        <f t="shared" si="25"/>
        <v>112.28000000000031</v>
      </c>
      <c r="K108" s="84">
        <v>43739</v>
      </c>
      <c r="L108" s="12">
        <f t="shared" si="21"/>
        <v>327.62171084337433</v>
      </c>
      <c r="M108" s="12">
        <v>7.8869999999999836</v>
      </c>
      <c r="N108" s="12">
        <v>1.0730000000000173</v>
      </c>
      <c r="P108" s="84">
        <v>43739</v>
      </c>
      <c r="Q108" s="12">
        <f t="shared" si="22"/>
        <v>67525.884119818322</v>
      </c>
      <c r="R108" s="12">
        <f t="shared" si="26"/>
        <v>1506.34452270621</v>
      </c>
      <c r="S108" s="12">
        <f t="shared" si="23"/>
        <v>288.70547729378995</v>
      </c>
      <c r="T108" s="85">
        <f t="shared" si="17"/>
        <v>42149.850522706976</v>
      </c>
      <c r="U108" s="85">
        <f t="shared" si="18"/>
        <v>5909.3994772930191</v>
      </c>
      <c r="W108" s="85">
        <f t="shared" si="19"/>
        <v>42.149850522706977</v>
      </c>
      <c r="X108" s="85">
        <f t="shared" si="20"/>
        <v>5.909399477293019</v>
      </c>
    </row>
    <row r="109" spans="1:24">
      <c r="A109" s="84">
        <v>43770</v>
      </c>
      <c r="B109" s="12">
        <f t="shared" si="27"/>
        <v>1615713.690999975</v>
      </c>
      <c r="C109" s="12">
        <v>39955.65700000077</v>
      </c>
      <c r="D109" s="12">
        <f t="shared" si="24"/>
        <v>5374.3629999992263</v>
      </c>
      <c r="F109" s="84">
        <v>43770</v>
      </c>
      <c r="G109" s="12">
        <f t="shared" si="28"/>
        <v>32977.791000000085</v>
      </c>
      <c r="H109" s="12">
        <v>815.62999999999965</v>
      </c>
      <c r="I109" s="12">
        <f t="shared" si="25"/>
        <v>109.59000000000037</v>
      </c>
      <c r="K109" s="84">
        <v>43770</v>
      </c>
      <c r="L109" s="12">
        <f t="shared" si="21"/>
        <v>319.73471084337433</v>
      </c>
      <c r="M109" s="12">
        <v>7.9139999999999828</v>
      </c>
      <c r="N109" s="12">
        <v>1.046000000000018</v>
      </c>
      <c r="P109" s="84">
        <v>43770</v>
      </c>
      <c r="Q109" s="12">
        <f t="shared" si="22"/>
        <v>66019.539597112118</v>
      </c>
      <c r="R109" s="12">
        <f t="shared" si="26"/>
        <v>1510.08452270621</v>
      </c>
      <c r="S109" s="12">
        <f t="shared" si="23"/>
        <v>284.96547729378995</v>
      </c>
      <c r="T109" s="85">
        <f t="shared" si="17"/>
        <v>42289.285522706981</v>
      </c>
      <c r="U109" s="85">
        <f t="shared" si="18"/>
        <v>5769.9644772930169</v>
      </c>
      <c r="W109" s="85">
        <f t="shared" si="19"/>
        <v>42.289285522706983</v>
      </c>
      <c r="X109" s="85">
        <f t="shared" si="20"/>
        <v>5.7699644772930165</v>
      </c>
    </row>
    <row r="110" spans="1:24">
      <c r="A110" s="84">
        <v>43800</v>
      </c>
      <c r="B110" s="12">
        <f t="shared" si="27"/>
        <v>1575758.0339999741</v>
      </c>
      <c r="C110" s="12">
        <v>40089.20800000077</v>
      </c>
      <c r="D110" s="12">
        <f t="shared" si="24"/>
        <v>5240.8119999992268</v>
      </c>
      <c r="F110" s="84">
        <v>43800</v>
      </c>
      <c r="G110" s="12">
        <f t="shared" si="28"/>
        <v>32162.161000000084</v>
      </c>
      <c r="H110" s="12">
        <v>818.3199999999996</v>
      </c>
      <c r="I110" s="12">
        <f t="shared" si="25"/>
        <v>106.90000000000043</v>
      </c>
      <c r="K110" s="84">
        <v>43800</v>
      </c>
      <c r="L110" s="12">
        <f t="shared" si="21"/>
        <v>311.82071084337434</v>
      </c>
      <c r="M110" s="12">
        <v>7.9409999999999821</v>
      </c>
      <c r="N110" s="12">
        <v>1.0190000000000188</v>
      </c>
      <c r="P110" s="84">
        <v>43800</v>
      </c>
      <c r="Q110" s="12">
        <f t="shared" si="22"/>
        <v>64509.455074405909</v>
      </c>
      <c r="R110" s="12">
        <f t="shared" si="26"/>
        <v>1513.82452270621</v>
      </c>
      <c r="S110" s="12">
        <f t="shared" si="23"/>
        <v>281.22547729378994</v>
      </c>
      <c r="T110" s="85">
        <f t="shared" si="17"/>
        <v>42429.293522706983</v>
      </c>
      <c r="U110" s="85">
        <f t="shared" si="18"/>
        <v>5629.9564772930171</v>
      </c>
      <c r="W110" s="85">
        <f t="shared" si="19"/>
        <v>42.429293522706985</v>
      </c>
      <c r="X110" s="85">
        <f t="shared" si="20"/>
        <v>5.6299564772930175</v>
      </c>
    </row>
    <row r="111" spans="1:24">
      <c r="A111" s="84">
        <v>43831</v>
      </c>
      <c r="B111" s="12">
        <f t="shared" si="27"/>
        <v>1535668.8259999733</v>
      </c>
      <c r="C111" s="12">
        <v>40223.332000000766</v>
      </c>
      <c r="D111" s="12">
        <f t="shared" si="24"/>
        <v>5106.6879999992307</v>
      </c>
      <c r="F111" s="84">
        <v>43831</v>
      </c>
      <c r="G111" s="12">
        <f t="shared" si="28"/>
        <v>31343.841000000084</v>
      </c>
      <c r="H111" s="12">
        <v>821.00999999999954</v>
      </c>
      <c r="I111" s="12">
        <f t="shared" si="25"/>
        <v>104.21000000000049</v>
      </c>
      <c r="K111" s="84">
        <v>43831</v>
      </c>
      <c r="L111" s="12">
        <f t="shared" si="21"/>
        <v>303.87971084337437</v>
      </c>
      <c r="M111" s="12">
        <v>7.95</v>
      </c>
      <c r="N111" s="12">
        <v>1.0100000000000007</v>
      </c>
      <c r="P111" s="84">
        <v>43831</v>
      </c>
      <c r="Q111" s="12">
        <f t="shared" si="22"/>
        <v>62995.630551699702</v>
      </c>
      <c r="R111" s="12">
        <f t="shared" si="26"/>
        <v>1517.56452270621</v>
      </c>
      <c r="S111" s="12">
        <f t="shared" si="23"/>
        <v>277.48547729378993</v>
      </c>
      <c r="T111" s="85">
        <f t="shared" si="17"/>
        <v>42569.856522706978</v>
      </c>
      <c r="U111" s="85">
        <f t="shared" si="18"/>
        <v>5489.3934772930206</v>
      </c>
      <c r="W111" s="85">
        <f t="shared" si="19"/>
        <v>42.569856522706978</v>
      </c>
      <c r="X111" s="85">
        <f t="shared" si="20"/>
        <v>5.4893934772930209</v>
      </c>
    </row>
    <row r="112" spans="1:24">
      <c r="A112" s="84">
        <v>43862</v>
      </c>
      <c r="B112" s="12">
        <f t="shared" si="27"/>
        <v>1495445.4939999725</v>
      </c>
      <c r="C112" s="12">
        <v>40358.029000000759</v>
      </c>
      <c r="D112" s="12">
        <f t="shared" si="24"/>
        <v>4971.9909999992378</v>
      </c>
      <c r="F112" s="84">
        <v>43862</v>
      </c>
      <c r="G112" s="12">
        <f t="shared" si="28"/>
        <v>30522.831000000086</v>
      </c>
      <c r="H112" s="12">
        <v>826.76</v>
      </c>
      <c r="I112" s="12">
        <f t="shared" si="25"/>
        <v>98.460000000000036</v>
      </c>
      <c r="K112" s="84">
        <v>43862</v>
      </c>
      <c r="L112" s="12">
        <f t="shared" si="21"/>
        <v>295.92971084337438</v>
      </c>
      <c r="M112" s="12">
        <v>7.98</v>
      </c>
      <c r="N112" s="12">
        <v>0.98000000000000043</v>
      </c>
      <c r="P112" s="84">
        <v>43862</v>
      </c>
      <c r="Q112" s="12">
        <f t="shared" si="22"/>
        <v>61478.066028993489</v>
      </c>
      <c r="R112" s="12">
        <f t="shared" si="26"/>
        <v>1521.30452270621</v>
      </c>
      <c r="S112" s="12">
        <f t="shared" si="23"/>
        <v>273.74547729378992</v>
      </c>
      <c r="T112" s="85">
        <f t="shared" si="17"/>
        <v>42714.073522706967</v>
      </c>
      <c r="U112" s="85">
        <f t="shared" si="18"/>
        <v>5345.1764772930273</v>
      </c>
      <c r="W112" s="85">
        <f t="shared" si="19"/>
        <v>42.714073522706968</v>
      </c>
      <c r="X112" s="85">
        <f t="shared" si="20"/>
        <v>5.3451764772930277</v>
      </c>
    </row>
    <row r="113" spans="1:24">
      <c r="A113" s="84">
        <v>43891</v>
      </c>
      <c r="B113" s="12">
        <f t="shared" si="27"/>
        <v>1455087.4649999717</v>
      </c>
      <c r="C113" s="12">
        <v>40493.299000000748</v>
      </c>
      <c r="D113" s="12">
        <f t="shared" si="24"/>
        <v>4836.7209999992483</v>
      </c>
      <c r="F113" s="84">
        <v>43891</v>
      </c>
      <c r="G113" s="12">
        <f t="shared" si="28"/>
        <v>29696.071000000087</v>
      </c>
      <c r="H113" s="12">
        <v>826.5</v>
      </c>
      <c r="I113" s="12">
        <f t="shared" si="25"/>
        <v>98.720000000000027</v>
      </c>
      <c r="K113" s="84">
        <v>43891</v>
      </c>
      <c r="L113" s="12">
        <f t="shared" si="21"/>
        <v>287.94971084337436</v>
      </c>
      <c r="M113" s="12">
        <v>7.9999000000000002</v>
      </c>
      <c r="N113" s="12">
        <v>0.96010000000000062</v>
      </c>
      <c r="P113" s="84">
        <v>43891</v>
      </c>
      <c r="Q113" s="12">
        <f t="shared" si="22"/>
        <v>59956.761506287279</v>
      </c>
      <c r="R113" s="12">
        <f t="shared" si="26"/>
        <v>1525.04452270621</v>
      </c>
      <c r="S113" s="12">
        <f t="shared" si="23"/>
        <v>270.00547729378991</v>
      </c>
      <c r="T113" s="85">
        <f t="shared" si="17"/>
        <v>42852.843422706959</v>
      </c>
      <c r="U113" s="85">
        <f t="shared" si="18"/>
        <v>5206.406577293038</v>
      </c>
      <c r="W113" s="85">
        <f t="shared" si="19"/>
        <v>42.852843422706961</v>
      </c>
      <c r="X113" s="85">
        <f t="shared" si="20"/>
        <v>5.2064065772930377</v>
      </c>
    </row>
    <row r="114" spans="1:24">
      <c r="A114" s="84">
        <v>43922</v>
      </c>
      <c r="B114" s="12">
        <f t="shared" si="27"/>
        <v>1414594.1659999709</v>
      </c>
      <c r="C114" s="12">
        <v>40629.142000000735</v>
      </c>
      <c r="D114" s="12">
        <f t="shared" si="24"/>
        <v>4700.8779999992621</v>
      </c>
      <c r="F114" s="84">
        <v>43922</v>
      </c>
      <c r="G114" s="12">
        <f t="shared" si="28"/>
        <v>28869.571000000087</v>
      </c>
      <c r="H114" s="12">
        <v>829.24</v>
      </c>
      <c r="I114" s="12">
        <f t="shared" si="25"/>
        <v>95.980000000000018</v>
      </c>
      <c r="K114" s="84">
        <v>43922</v>
      </c>
      <c r="L114" s="12">
        <f t="shared" si="21"/>
        <v>279.94981084337434</v>
      </c>
      <c r="M114" s="12">
        <v>8.02</v>
      </c>
      <c r="N114" s="12">
        <v>0.94000000000000128</v>
      </c>
      <c r="P114" s="84">
        <v>43922</v>
      </c>
      <c r="Q114" s="12">
        <f t="shared" si="22"/>
        <v>58431.716983581071</v>
      </c>
      <c r="R114" s="12">
        <f t="shared" si="26"/>
        <v>1528.7845227062101</v>
      </c>
      <c r="S114" s="12">
        <f t="shared" si="23"/>
        <v>266.2654772937899</v>
      </c>
      <c r="T114" s="85">
        <f t="shared" si="17"/>
        <v>42995.186522706943</v>
      </c>
      <c r="U114" s="85">
        <f t="shared" si="18"/>
        <v>5064.0634772930516</v>
      </c>
      <c r="W114" s="85">
        <f t="shared" si="19"/>
        <v>42.995186522706945</v>
      </c>
      <c r="X114" s="85">
        <f t="shared" si="20"/>
        <v>5.0640634772930513</v>
      </c>
    </row>
    <row r="115" spans="1:24">
      <c r="A115" s="84">
        <v>43952</v>
      </c>
      <c r="B115" s="12">
        <f t="shared" si="27"/>
        <v>1373965.0239999702</v>
      </c>
      <c r="C115" s="12">
        <v>40765.558000000718</v>
      </c>
      <c r="D115" s="12">
        <f t="shared" si="24"/>
        <v>4564.4619999992792</v>
      </c>
      <c r="F115" s="84">
        <v>43952</v>
      </c>
      <c r="G115" s="12">
        <f t="shared" si="28"/>
        <v>28040.331000000086</v>
      </c>
      <c r="H115" s="12">
        <v>832</v>
      </c>
      <c r="I115" s="12">
        <f t="shared" si="25"/>
        <v>93.220000000000027</v>
      </c>
      <c r="K115" s="84">
        <v>43952</v>
      </c>
      <c r="L115" s="12">
        <f t="shared" si="21"/>
        <v>271.92981084337436</v>
      </c>
      <c r="M115" s="12">
        <v>8.0500000000000007</v>
      </c>
      <c r="N115" s="12">
        <v>0.91000000000000014</v>
      </c>
      <c r="P115" s="84">
        <v>43952</v>
      </c>
      <c r="Q115" s="12">
        <f t="shared" si="22"/>
        <v>56902.932460874857</v>
      </c>
      <c r="R115" s="12">
        <f t="shared" si="26"/>
        <v>1532.5245227062101</v>
      </c>
      <c r="S115" s="12">
        <f t="shared" si="23"/>
        <v>262.52547729378989</v>
      </c>
      <c r="T115" s="85">
        <f t="shared" si="17"/>
        <v>43138.132522706925</v>
      </c>
      <c r="U115" s="85">
        <f t="shared" si="18"/>
        <v>4921.117477293069</v>
      </c>
      <c r="W115" s="85">
        <f t="shared" si="19"/>
        <v>43.138132522706925</v>
      </c>
      <c r="X115" s="85">
        <f t="shared" si="20"/>
        <v>4.9211174772930688</v>
      </c>
    </row>
    <row r="116" spans="1:24">
      <c r="A116" s="84">
        <v>43983</v>
      </c>
      <c r="B116" s="12">
        <f t="shared" si="27"/>
        <v>1333199.4659999695</v>
      </c>
      <c r="C116" s="12">
        <v>40902.547000000697</v>
      </c>
      <c r="D116" s="12">
        <f t="shared" si="24"/>
        <v>4427.4729999992996</v>
      </c>
      <c r="F116" s="84">
        <v>43983</v>
      </c>
      <c r="G116" s="12">
        <f t="shared" si="28"/>
        <v>27208.331000000086</v>
      </c>
      <c r="H116" s="12">
        <v>834.77</v>
      </c>
      <c r="I116" s="12">
        <f t="shared" si="25"/>
        <v>90.450000000000045</v>
      </c>
      <c r="K116" s="84">
        <v>43983</v>
      </c>
      <c r="L116" s="12">
        <f t="shared" si="21"/>
        <v>263.87981084337434</v>
      </c>
      <c r="M116" s="12">
        <v>8.06</v>
      </c>
      <c r="N116" s="12">
        <v>0.90000000000000036</v>
      </c>
      <c r="P116" s="84">
        <v>43983</v>
      </c>
      <c r="Q116" s="12">
        <f t="shared" si="22"/>
        <v>55370.407938168646</v>
      </c>
      <c r="R116" s="12">
        <f t="shared" si="26"/>
        <v>1536.2645227062101</v>
      </c>
      <c r="S116" s="12">
        <f t="shared" si="23"/>
        <v>258.78547729378988</v>
      </c>
      <c r="T116" s="85">
        <f t="shared" si="17"/>
        <v>43281.641522706908</v>
      </c>
      <c r="U116" s="85">
        <f t="shared" si="18"/>
        <v>4777.6084772930899</v>
      </c>
      <c r="W116" s="85">
        <f t="shared" si="19"/>
        <v>43.281641522706906</v>
      </c>
      <c r="X116" s="85">
        <f t="shared" si="20"/>
        <v>4.7776084772930902</v>
      </c>
    </row>
    <row r="117" spans="1:24">
      <c r="A117" s="84">
        <v>44013</v>
      </c>
      <c r="B117" s="12">
        <f t="shared" si="27"/>
        <v>1292296.9189999688</v>
      </c>
      <c r="C117" s="12">
        <v>41040.109000000673</v>
      </c>
      <c r="D117" s="12">
        <f t="shared" si="24"/>
        <v>4289.9109999993234</v>
      </c>
      <c r="F117" s="84">
        <v>44013</v>
      </c>
      <c r="G117" s="12">
        <f t="shared" si="28"/>
        <v>26373.561000000085</v>
      </c>
      <c r="H117" s="12">
        <v>837.54</v>
      </c>
      <c r="I117" s="12">
        <f t="shared" si="25"/>
        <v>87.680000000000064</v>
      </c>
      <c r="K117" s="84">
        <v>44013</v>
      </c>
      <c r="L117" s="12">
        <f t="shared" si="21"/>
        <v>255.81981084337434</v>
      </c>
      <c r="M117" s="12">
        <v>8.07</v>
      </c>
      <c r="N117" s="12">
        <v>0.89000000000000057</v>
      </c>
      <c r="P117" s="84">
        <v>44013</v>
      </c>
      <c r="Q117" s="12">
        <f t="shared" si="22"/>
        <v>53834.143415462437</v>
      </c>
      <c r="R117" s="12">
        <f t="shared" si="26"/>
        <v>1540.0045227062101</v>
      </c>
      <c r="S117" s="12">
        <f t="shared" si="23"/>
        <v>255.04547729378987</v>
      </c>
      <c r="T117" s="85">
        <f t="shared" si="17"/>
        <v>43425.723522706881</v>
      </c>
      <c r="U117" s="85">
        <f t="shared" si="18"/>
        <v>4633.5264772931132</v>
      </c>
      <c r="W117" s="85">
        <f t="shared" si="19"/>
        <v>43.425723522706882</v>
      </c>
      <c r="X117" s="85">
        <f t="shared" si="20"/>
        <v>4.6335264772931133</v>
      </c>
    </row>
    <row r="118" spans="1:24">
      <c r="A118" s="84">
        <v>44044</v>
      </c>
      <c r="B118" s="12">
        <f t="shared" si="27"/>
        <v>1251256.8099999682</v>
      </c>
      <c r="C118" s="12">
        <v>41178.244000000646</v>
      </c>
      <c r="D118" s="12">
        <f t="shared" si="24"/>
        <v>4151.7759999993505</v>
      </c>
      <c r="F118" s="84">
        <v>44044</v>
      </c>
      <c r="G118" s="12">
        <f t="shared" si="28"/>
        <v>25536.021000000084</v>
      </c>
      <c r="H118" s="12">
        <v>840.31</v>
      </c>
      <c r="I118" s="12">
        <f t="shared" si="25"/>
        <v>84.910000000000082</v>
      </c>
      <c r="K118" s="84">
        <v>44044</v>
      </c>
      <c r="L118" s="12">
        <f t="shared" si="21"/>
        <v>247.74981084337435</v>
      </c>
      <c r="M118" s="12">
        <v>8.1199999999999992</v>
      </c>
      <c r="N118" s="12">
        <v>0.84000000000000163</v>
      </c>
      <c r="P118" s="84">
        <v>44044</v>
      </c>
      <c r="Q118" s="12">
        <f t="shared" si="22"/>
        <v>52294.138892756229</v>
      </c>
      <c r="R118" s="12">
        <f t="shared" si="26"/>
        <v>1543.7445227062101</v>
      </c>
      <c r="S118" s="12">
        <f t="shared" si="23"/>
        <v>251.30547729378986</v>
      </c>
      <c r="T118" s="85">
        <f t="shared" si="17"/>
        <v>43570.418522706859</v>
      </c>
      <c r="U118" s="85">
        <f t="shared" si="18"/>
        <v>4488.8314772931408</v>
      </c>
      <c r="W118" s="85">
        <f t="shared" si="19"/>
        <v>43.570418522706859</v>
      </c>
      <c r="X118" s="85">
        <f t="shared" si="20"/>
        <v>4.4888314772931404</v>
      </c>
    </row>
    <row r="119" spans="1:24">
      <c r="A119" s="84">
        <v>44075</v>
      </c>
      <c r="B119" s="12">
        <f t="shared" si="27"/>
        <v>1210078.5659999675</v>
      </c>
      <c r="C119" s="12">
        <v>41316.952000000616</v>
      </c>
      <c r="D119" s="12">
        <f t="shared" si="24"/>
        <v>4013.0679999993808</v>
      </c>
      <c r="F119" s="84">
        <v>44075</v>
      </c>
      <c r="G119" s="12">
        <f t="shared" si="28"/>
        <v>24695.711000000083</v>
      </c>
      <c r="H119" s="12">
        <v>843.07999999999993</v>
      </c>
      <c r="I119" s="12">
        <f t="shared" si="25"/>
        <v>82.1400000000001</v>
      </c>
      <c r="K119" s="84">
        <v>44075</v>
      </c>
      <c r="L119" s="12">
        <f t="shared" si="21"/>
        <v>239.62981084337434</v>
      </c>
      <c r="M119" s="12">
        <v>8.14</v>
      </c>
      <c r="N119" s="12">
        <v>0.82000000000000028</v>
      </c>
      <c r="P119" s="84">
        <v>44075</v>
      </c>
      <c r="Q119" s="12">
        <f t="shared" si="22"/>
        <v>50750.394370050017</v>
      </c>
      <c r="R119" s="12">
        <f t="shared" si="26"/>
        <v>1547.4845227062101</v>
      </c>
      <c r="S119" s="12">
        <f t="shared" si="23"/>
        <v>247.56547729378985</v>
      </c>
      <c r="T119" s="85">
        <f t="shared" si="17"/>
        <v>43715.656522706828</v>
      </c>
      <c r="U119" s="85">
        <f t="shared" si="18"/>
        <v>4343.5934772931705</v>
      </c>
      <c r="W119" s="85">
        <f t="shared" si="19"/>
        <v>43.71565652270683</v>
      </c>
      <c r="X119" s="85">
        <f t="shared" si="20"/>
        <v>4.3435934772931706</v>
      </c>
    </row>
    <row r="120" spans="1:24">
      <c r="A120" s="84">
        <v>44105</v>
      </c>
      <c r="B120" s="12">
        <f t="shared" si="27"/>
        <v>1168761.613999967</v>
      </c>
      <c r="C120" s="12">
        <v>41456.233000000582</v>
      </c>
      <c r="D120" s="12">
        <f t="shared" si="24"/>
        <v>3873.7869999994145</v>
      </c>
      <c r="F120" s="84">
        <v>44105</v>
      </c>
      <c r="G120" s="12">
        <f t="shared" si="28"/>
        <v>23852.631000000081</v>
      </c>
      <c r="H120" s="12">
        <v>845.84999999999991</v>
      </c>
      <c r="I120" s="12">
        <f t="shared" si="25"/>
        <v>79.370000000000118</v>
      </c>
      <c r="K120" s="84">
        <v>44105</v>
      </c>
      <c r="L120" s="12">
        <f t="shared" si="21"/>
        <v>231.48981084337436</v>
      </c>
      <c r="M120" s="12">
        <v>8.17</v>
      </c>
      <c r="N120" s="12">
        <v>0.79000000000000092</v>
      </c>
      <c r="P120" s="84">
        <v>44105</v>
      </c>
      <c r="Q120" s="12">
        <f t="shared" si="22"/>
        <v>49202.909847343806</v>
      </c>
      <c r="R120" s="12">
        <f t="shared" si="26"/>
        <v>1551.2245227062101</v>
      </c>
      <c r="S120" s="12">
        <f t="shared" si="23"/>
        <v>243.82547729378985</v>
      </c>
      <c r="T120" s="85">
        <f t="shared" si="17"/>
        <v>43861.477522706795</v>
      </c>
      <c r="U120" s="85">
        <f t="shared" si="18"/>
        <v>4197.7724772932042</v>
      </c>
      <c r="W120" s="85">
        <f t="shared" si="19"/>
        <v>43.861477522706792</v>
      </c>
      <c r="X120" s="85">
        <f t="shared" si="20"/>
        <v>4.1977724772932046</v>
      </c>
    </row>
    <row r="121" spans="1:24">
      <c r="A121" s="84">
        <v>44136</v>
      </c>
      <c r="B121" s="12">
        <f t="shared" si="27"/>
        <v>1127305.3809999665</v>
      </c>
      <c r="C121" s="12">
        <v>41596.087000000545</v>
      </c>
      <c r="D121" s="12">
        <f t="shared" si="24"/>
        <v>3733.9329999994516</v>
      </c>
      <c r="F121" s="84">
        <v>44136</v>
      </c>
      <c r="G121" s="12">
        <f t="shared" si="28"/>
        <v>23006.781000000083</v>
      </c>
      <c r="H121" s="12">
        <v>848.61999999999989</v>
      </c>
      <c r="I121" s="12">
        <f t="shared" si="25"/>
        <v>76.600000000000136</v>
      </c>
      <c r="K121" s="84">
        <v>44136</v>
      </c>
      <c r="L121" s="12">
        <f t="shared" si="21"/>
        <v>223.31981084337437</v>
      </c>
      <c r="M121" s="12">
        <v>8.61</v>
      </c>
      <c r="N121" s="12">
        <v>0.35000000000000142</v>
      </c>
      <c r="P121" s="84">
        <v>44136</v>
      </c>
      <c r="Q121" s="12">
        <f t="shared" si="22"/>
        <v>47651.685324637598</v>
      </c>
      <c r="R121" s="12">
        <f t="shared" si="26"/>
        <v>1554.9645227062101</v>
      </c>
      <c r="S121" s="12">
        <f t="shared" si="23"/>
        <v>240.08547729378984</v>
      </c>
      <c r="T121" s="85">
        <f t="shared" si="17"/>
        <v>44008.281522706755</v>
      </c>
      <c r="U121" s="85">
        <f t="shared" si="18"/>
        <v>4050.9684772932414</v>
      </c>
      <c r="W121" s="85">
        <f t="shared" si="19"/>
        <v>44.008281522706753</v>
      </c>
      <c r="X121" s="85">
        <f t="shared" si="20"/>
        <v>4.0509684772932415</v>
      </c>
    </row>
    <row r="122" spans="1:24">
      <c r="A122" s="84">
        <v>44166</v>
      </c>
      <c r="B122" s="12">
        <f t="shared" si="27"/>
        <v>1085709.293999966</v>
      </c>
      <c r="C122" s="12">
        <v>1085709.293999966</v>
      </c>
      <c r="D122" s="12">
        <v>3609.08</v>
      </c>
      <c r="F122" s="84">
        <v>44166</v>
      </c>
      <c r="G122" s="12">
        <f t="shared" si="28"/>
        <v>22158.161000000084</v>
      </c>
      <c r="H122" s="12">
        <v>22158.161000000084</v>
      </c>
      <c r="I122" s="12">
        <v>73.66</v>
      </c>
      <c r="K122" s="84">
        <v>44166</v>
      </c>
      <c r="L122" s="12">
        <f t="shared" si="21"/>
        <v>214.70981084337438</v>
      </c>
      <c r="M122" s="12">
        <v>214.71</v>
      </c>
      <c r="N122" s="12">
        <v>0.71</v>
      </c>
      <c r="P122" s="84">
        <v>44166</v>
      </c>
      <c r="Q122" s="12">
        <f t="shared" si="22"/>
        <v>46096.720801931384</v>
      </c>
      <c r="R122" s="12">
        <f>+Q122</f>
        <v>46096.720801931384</v>
      </c>
      <c r="S122" s="12">
        <f>+Q121*(0.0285+0.01139)/360*30</f>
        <v>158.4021439666495</v>
      </c>
      <c r="T122" s="85">
        <f t="shared" si="17"/>
        <v>1154178.8858018974</v>
      </c>
      <c r="U122" s="85">
        <f t="shared" si="18"/>
        <v>3841.8521439666492</v>
      </c>
      <c r="W122" s="85">
        <f t="shared" si="19"/>
        <v>1154.1788858018974</v>
      </c>
      <c r="X122" s="85">
        <f t="shared" si="20"/>
        <v>3.8418521439666491</v>
      </c>
    </row>
    <row r="123" spans="1:24">
      <c r="A123" s="84"/>
      <c r="F123" s="84"/>
      <c r="K123" s="84"/>
      <c r="P123" s="84"/>
      <c r="X123" s="85"/>
    </row>
    <row r="124" spans="1:24">
      <c r="A124" s="84"/>
      <c r="F124" s="84"/>
      <c r="K124" s="84"/>
      <c r="P124" s="84"/>
    </row>
    <row r="125" spans="1:24">
      <c r="A125" s="84"/>
      <c r="F125" s="84"/>
      <c r="K125" s="84"/>
      <c r="P125" s="84"/>
    </row>
    <row r="126" spans="1:24">
      <c r="A126" s="84"/>
      <c r="F126" s="84"/>
      <c r="K126" s="84"/>
      <c r="P126" s="84"/>
    </row>
    <row r="127" spans="1:24">
      <c r="A127" s="84"/>
      <c r="F127" s="84"/>
      <c r="K127" s="84"/>
      <c r="P127" s="84"/>
    </row>
    <row r="128" spans="1:24">
      <c r="A128" s="84"/>
      <c r="F128" s="84"/>
      <c r="K128" s="84"/>
      <c r="P128" s="84"/>
    </row>
    <row r="129" spans="1:16">
      <c r="A129" s="84"/>
      <c r="F129" s="84"/>
      <c r="K129" s="84"/>
      <c r="P129" s="84"/>
    </row>
    <row r="130" spans="1:16">
      <c r="A130" s="84"/>
      <c r="F130" s="84"/>
      <c r="K130" s="84"/>
      <c r="P130" s="84"/>
    </row>
    <row r="131" spans="1:16">
      <c r="A131" s="84"/>
      <c r="F131" s="84"/>
      <c r="K131" s="84"/>
      <c r="P131" s="84"/>
    </row>
    <row r="132" spans="1:16">
      <c r="A132" s="84"/>
      <c r="F132" s="84"/>
      <c r="K132" s="84"/>
      <c r="P132" s="84"/>
    </row>
    <row r="133" spans="1:16">
      <c r="A133" s="84"/>
      <c r="F133" s="84"/>
      <c r="K133" s="84"/>
      <c r="P133" s="84"/>
    </row>
    <row r="134" spans="1:16">
      <c r="A134" s="84"/>
      <c r="F134" s="84"/>
      <c r="K134" s="84"/>
      <c r="P134" s="84"/>
    </row>
    <row r="135" spans="1:16">
      <c r="A135" s="84"/>
      <c r="F135" s="84"/>
      <c r="K135" s="84"/>
      <c r="P135" s="84"/>
    </row>
    <row r="136" spans="1:16">
      <c r="A136" s="84"/>
      <c r="F136" s="84"/>
      <c r="K136" s="84"/>
      <c r="P136" s="84"/>
    </row>
    <row r="137" spans="1:16">
      <c r="A137" s="84"/>
      <c r="F137" s="84"/>
      <c r="K137" s="84"/>
      <c r="P137" s="84"/>
    </row>
    <row r="138" spans="1:16">
      <c r="A138" s="84"/>
      <c r="F138" s="84"/>
      <c r="K138" s="84"/>
      <c r="P138" s="84"/>
    </row>
    <row r="139" spans="1:16">
      <c r="A139" s="84"/>
      <c r="F139" s="84"/>
      <c r="K139" s="84"/>
      <c r="P139" s="84"/>
    </row>
    <row r="140" spans="1:16">
      <c r="A140" s="84"/>
      <c r="F140" s="84"/>
      <c r="K140" s="84"/>
      <c r="P140" s="84"/>
    </row>
    <row r="141" spans="1:16">
      <c r="A141" s="84"/>
      <c r="F141" s="84"/>
      <c r="K141" s="84"/>
      <c r="P141" s="84"/>
    </row>
    <row r="142" spans="1:16">
      <c r="A142" s="84"/>
      <c r="F142" s="84"/>
      <c r="K142" s="84"/>
      <c r="P142" s="84"/>
    </row>
    <row r="143" spans="1:16">
      <c r="A143" s="84"/>
      <c r="F143" s="84"/>
      <c r="K143" s="84"/>
      <c r="P143" s="84"/>
    </row>
    <row r="144" spans="1:16">
      <c r="A144" s="84"/>
      <c r="F144" s="84"/>
      <c r="K144" s="84"/>
      <c r="P144" s="84"/>
    </row>
    <row r="145" spans="1:16">
      <c r="A145" s="84"/>
      <c r="F145" s="84"/>
      <c r="K145" s="84"/>
      <c r="P145" s="84"/>
    </row>
    <row r="146" spans="1:16">
      <c r="A146" s="84"/>
      <c r="F146" s="84"/>
      <c r="K146" s="84"/>
      <c r="P146" s="84"/>
    </row>
    <row r="147" spans="1:16">
      <c r="A147" s="84"/>
      <c r="F147" s="84"/>
      <c r="K147" s="84"/>
      <c r="P147" s="84"/>
    </row>
    <row r="148" spans="1:16">
      <c r="A148" s="84"/>
      <c r="F148" s="84"/>
      <c r="K148" s="84"/>
      <c r="P148" s="84"/>
    </row>
    <row r="149" spans="1:16">
      <c r="A149" s="84"/>
      <c r="F149" s="84"/>
      <c r="K149" s="84"/>
      <c r="P149" s="84"/>
    </row>
    <row r="150" spans="1:16">
      <c r="A150" s="84"/>
      <c r="F150" s="84"/>
      <c r="K150" s="84"/>
      <c r="P150" s="84"/>
    </row>
    <row r="151" spans="1:16">
      <c r="A151" s="84"/>
      <c r="F151" s="84"/>
      <c r="K151" s="84"/>
      <c r="P151" s="84"/>
    </row>
    <row r="152" spans="1:16">
      <c r="A152" s="84"/>
      <c r="F152" s="84"/>
      <c r="K152" s="84"/>
      <c r="P152" s="84"/>
    </row>
    <row r="153" spans="1:16">
      <c r="A153" s="84"/>
      <c r="F153" s="84"/>
      <c r="K153" s="84"/>
      <c r="P153" s="84"/>
    </row>
    <row r="154" spans="1:16">
      <c r="A154" s="84"/>
      <c r="F154" s="84"/>
      <c r="K154" s="84"/>
      <c r="P154" s="84"/>
    </row>
    <row r="155" spans="1:16">
      <c r="A155" s="84"/>
      <c r="F155" s="84"/>
      <c r="K155" s="84"/>
      <c r="P155" s="84"/>
    </row>
    <row r="156" spans="1:16">
      <c r="A156" s="84"/>
      <c r="F156" s="84"/>
      <c r="K156" s="84"/>
      <c r="P156" s="84"/>
    </row>
    <row r="157" spans="1:16">
      <c r="A157" s="84"/>
      <c r="F157" s="84"/>
      <c r="K157" s="84"/>
      <c r="P157" s="84"/>
    </row>
    <row r="158" spans="1:16">
      <c r="A158" s="84"/>
      <c r="F158" s="84"/>
      <c r="K158" s="84"/>
      <c r="P158" s="84"/>
    </row>
    <row r="159" spans="1:16">
      <c r="A159" s="84"/>
      <c r="F159" s="84"/>
      <c r="K159" s="84"/>
      <c r="P159" s="84"/>
    </row>
    <row r="160" spans="1:16">
      <c r="A160" s="84"/>
      <c r="F160" s="84"/>
      <c r="K160" s="84"/>
      <c r="P160" s="84"/>
    </row>
    <row r="161" spans="1:16">
      <c r="A161" s="84"/>
      <c r="F161" s="84"/>
      <c r="K161" s="84"/>
      <c r="P161" s="84"/>
    </row>
    <row r="162" spans="1:16">
      <c r="A162" s="84"/>
      <c r="F162" s="84"/>
      <c r="K162" s="84"/>
      <c r="P162" s="84"/>
    </row>
    <row r="163" spans="1:16">
      <c r="A163" s="84"/>
      <c r="F163" s="84"/>
      <c r="K163" s="84"/>
      <c r="P163" s="84"/>
    </row>
    <row r="164" spans="1:16">
      <c r="A164" s="84"/>
      <c r="F164" s="84"/>
      <c r="K164" s="84"/>
      <c r="P164" s="84"/>
    </row>
    <row r="165" spans="1:16">
      <c r="A165" s="84"/>
      <c r="F165" s="84"/>
      <c r="K165" s="84"/>
      <c r="P165" s="84"/>
    </row>
    <row r="166" spans="1:16">
      <c r="A166" s="84"/>
      <c r="F166" s="84"/>
      <c r="K166" s="84"/>
      <c r="P166" s="84"/>
    </row>
    <row r="167" spans="1:16">
      <c r="A167" s="84"/>
      <c r="F167" s="84"/>
      <c r="K167" s="84"/>
      <c r="P167" s="84"/>
    </row>
    <row r="168" spans="1:16">
      <c r="A168" s="84"/>
      <c r="F168" s="84"/>
      <c r="K168" s="84"/>
      <c r="P168" s="84"/>
    </row>
    <row r="169" spans="1:16">
      <c r="A169" s="84"/>
      <c r="F169" s="84"/>
      <c r="K169" s="84"/>
      <c r="P169" s="84"/>
    </row>
    <row r="170" spans="1:16">
      <c r="A170" s="84"/>
      <c r="F170" s="84"/>
      <c r="K170" s="84"/>
      <c r="P170" s="84"/>
    </row>
    <row r="171" spans="1:16">
      <c r="A171" s="84"/>
      <c r="F171" s="84"/>
      <c r="K171" s="84"/>
      <c r="P171" s="84"/>
    </row>
    <row r="172" spans="1:16">
      <c r="A172" s="84"/>
      <c r="F172" s="84"/>
      <c r="K172" s="84"/>
      <c r="P172" s="84"/>
    </row>
    <row r="173" spans="1:16">
      <c r="A173" s="84"/>
      <c r="F173" s="84"/>
      <c r="K173" s="84"/>
      <c r="P173" s="84"/>
    </row>
    <row r="174" spans="1:16">
      <c r="A174" s="84"/>
      <c r="F174" s="84"/>
      <c r="K174" s="84"/>
      <c r="P174" s="84"/>
    </row>
    <row r="175" spans="1:16">
      <c r="A175" s="84"/>
      <c r="F175" s="84"/>
      <c r="K175" s="84"/>
      <c r="P175" s="84"/>
    </row>
    <row r="176" spans="1:16">
      <c r="A176" s="84"/>
      <c r="F176" s="84"/>
      <c r="K176" s="84"/>
      <c r="P176" s="84"/>
    </row>
    <row r="177" spans="1:16">
      <c r="A177" s="84"/>
      <c r="F177" s="84"/>
      <c r="K177" s="84"/>
      <c r="P177" s="84"/>
    </row>
    <row r="178" spans="1:16">
      <c r="A178" s="84"/>
      <c r="F178" s="84"/>
      <c r="K178" s="84"/>
      <c r="P178" s="84"/>
    </row>
    <row r="179" spans="1:16">
      <c r="A179" s="84"/>
      <c r="F179" s="84"/>
      <c r="K179" s="84"/>
      <c r="P179" s="84"/>
    </row>
    <row r="180" spans="1:16">
      <c r="A180" s="84"/>
      <c r="F180" s="84"/>
      <c r="K180" s="84"/>
      <c r="P180" s="84"/>
    </row>
    <row r="181" spans="1:16">
      <c r="A181" s="84"/>
      <c r="F181" s="84"/>
      <c r="K181" s="84"/>
      <c r="P181" s="84"/>
    </row>
    <row r="182" spans="1:16">
      <c r="A182" s="84"/>
      <c r="F182" s="84"/>
      <c r="K182" s="84"/>
      <c r="P182" s="84"/>
    </row>
    <row r="183" spans="1:16">
      <c r="A183" s="84"/>
      <c r="F183" s="84"/>
      <c r="K183" s="84"/>
      <c r="P183" s="84"/>
    </row>
    <row r="184" spans="1:16">
      <c r="A184" s="84"/>
      <c r="F184" s="84"/>
      <c r="K184" s="84"/>
      <c r="P184" s="84"/>
    </row>
    <row r="185" spans="1:16">
      <c r="A185" s="84"/>
      <c r="F185" s="84"/>
      <c r="K185" s="84"/>
      <c r="P185" s="84"/>
    </row>
    <row r="186" spans="1:16">
      <c r="A186" s="84"/>
      <c r="F186" s="84"/>
      <c r="K186" s="84"/>
      <c r="P186" s="84"/>
    </row>
    <row r="187" spans="1:16">
      <c r="A187" s="84"/>
      <c r="F187" s="84"/>
      <c r="K187" s="84"/>
      <c r="P187" s="84"/>
    </row>
    <row r="188" spans="1:16">
      <c r="A188" s="84"/>
      <c r="F188" s="84"/>
      <c r="K188" s="84"/>
      <c r="P188" s="84"/>
    </row>
    <row r="189" spans="1:16">
      <c r="A189" s="84"/>
      <c r="F189" s="84"/>
      <c r="K189" s="84"/>
      <c r="P189" s="84"/>
    </row>
    <row r="190" spans="1:16">
      <c r="A190" s="84"/>
      <c r="F190" s="84"/>
      <c r="K190" s="84"/>
      <c r="P190" s="84"/>
    </row>
    <row r="191" spans="1:16">
      <c r="A191" s="84"/>
      <c r="F191" s="84"/>
      <c r="K191" s="84"/>
      <c r="P191" s="84"/>
    </row>
    <row r="192" spans="1:16">
      <c r="A192" s="84"/>
      <c r="F192" s="84"/>
      <c r="K192" s="84"/>
      <c r="P192" s="84"/>
    </row>
    <row r="193" spans="1:16">
      <c r="A193" s="84"/>
      <c r="F193" s="84"/>
      <c r="K193" s="84"/>
      <c r="P193" s="84"/>
    </row>
    <row r="194" spans="1:16">
      <c r="A194" s="84"/>
      <c r="F194" s="84"/>
      <c r="K194" s="84"/>
      <c r="P194" s="84"/>
    </row>
    <row r="195" spans="1:16">
      <c r="A195" s="84"/>
      <c r="F195" s="84"/>
      <c r="K195" s="84"/>
      <c r="P195" s="84"/>
    </row>
    <row r="196" spans="1:16">
      <c r="A196" s="84"/>
      <c r="F196" s="84"/>
      <c r="K196" s="84"/>
      <c r="P196" s="84"/>
    </row>
    <row r="197" spans="1:16">
      <c r="A197" s="84"/>
      <c r="F197" s="84"/>
      <c r="K197" s="84"/>
      <c r="P197" s="84"/>
    </row>
    <row r="198" spans="1:16">
      <c r="A198" s="84"/>
      <c r="F198" s="84"/>
      <c r="K198" s="84"/>
      <c r="P198" s="84"/>
    </row>
    <row r="199" spans="1:16">
      <c r="A199" s="84"/>
      <c r="F199" s="84"/>
      <c r="K199" s="84"/>
      <c r="P199" s="84"/>
    </row>
    <row r="200" spans="1:16">
      <c r="A200" s="84"/>
      <c r="F200" s="84"/>
      <c r="K200" s="84"/>
      <c r="P200" s="84"/>
    </row>
    <row r="201" spans="1:16">
      <c r="A201" s="84"/>
      <c r="F201" s="84"/>
      <c r="K201" s="84"/>
      <c r="P201" s="84"/>
    </row>
    <row r="202" spans="1:16">
      <c r="A202" s="84"/>
      <c r="F202" s="84"/>
      <c r="K202" s="84"/>
      <c r="P202" s="84"/>
    </row>
    <row r="203" spans="1:16">
      <c r="A203" s="84"/>
      <c r="F203" s="84"/>
      <c r="K203" s="84"/>
      <c r="P203" s="84"/>
    </row>
    <row r="204" spans="1:16">
      <c r="A204" s="84"/>
      <c r="F204" s="84"/>
      <c r="K204" s="84"/>
      <c r="P204" s="84"/>
    </row>
    <row r="205" spans="1:16">
      <c r="A205" s="84"/>
      <c r="F205" s="84"/>
      <c r="K205" s="84"/>
      <c r="P205" s="84"/>
    </row>
    <row r="206" spans="1:16">
      <c r="A206" s="84"/>
      <c r="F206" s="84"/>
      <c r="K206" s="84"/>
      <c r="P206" s="84"/>
    </row>
    <row r="207" spans="1:16">
      <c r="A207" s="84"/>
      <c r="F207" s="84"/>
      <c r="K207" s="84"/>
      <c r="P207" s="84"/>
    </row>
    <row r="208" spans="1:16">
      <c r="A208" s="84"/>
      <c r="F208" s="84"/>
      <c r="K208" s="84"/>
      <c r="P208" s="84"/>
    </row>
    <row r="209" spans="1:16">
      <c r="A209" s="84"/>
      <c r="F209" s="84"/>
      <c r="K209" s="84"/>
      <c r="P209" s="84"/>
    </row>
    <row r="210" spans="1:16">
      <c r="A210" s="84"/>
      <c r="F210" s="84"/>
      <c r="K210" s="84"/>
      <c r="P210" s="84"/>
    </row>
    <row r="211" spans="1:16">
      <c r="A211" s="84"/>
      <c r="F211" s="84"/>
      <c r="K211" s="84"/>
      <c r="P211" s="84"/>
    </row>
    <row r="212" spans="1:16">
      <c r="A212" s="84"/>
      <c r="F212" s="84"/>
      <c r="K212" s="84"/>
      <c r="P212" s="84"/>
    </row>
    <row r="213" spans="1:16">
      <c r="A213" s="84"/>
      <c r="F213" s="84"/>
      <c r="K213" s="84"/>
      <c r="P213" s="84"/>
    </row>
    <row r="214" spans="1:16">
      <c r="A214" s="84"/>
      <c r="F214" s="84"/>
      <c r="K214" s="84"/>
      <c r="P214" s="84"/>
    </row>
    <row r="215" spans="1:16">
      <c r="A215" s="84"/>
      <c r="F215" s="84"/>
      <c r="K215" s="84"/>
      <c r="P215" s="84"/>
    </row>
    <row r="216" spans="1:16">
      <c r="A216" s="84"/>
      <c r="F216" s="84"/>
      <c r="K216" s="84"/>
      <c r="P216" s="84"/>
    </row>
    <row r="217" spans="1:16">
      <c r="A217" s="84"/>
      <c r="F217" s="84"/>
      <c r="K217" s="84"/>
      <c r="P217" s="84"/>
    </row>
    <row r="218" spans="1:16">
      <c r="A218" s="84"/>
      <c r="F218" s="84"/>
      <c r="K218" s="84"/>
      <c r="P218" s="84"/>
    </row>
    <row r="219" spans="1:16">
      <c r="A219" s="84"/>
      <c r="F219" s="84"/>
      <c r="K219" s="84"/>
      <c r="P219" s="84"/>
    </row>
    <row r="220" spans="1:16">
      <c r="A220" s="84"/>
      <c r="F220" s="84"/>
      <c r="K220" s="84"/>
      <c r="P220" s="84"/>
    </row>
    <row r="221" spans="1:16">
      <c r="A221" s="84"/>
      <c r="F221" s="84"/>
      <c r="K221" s="84"/>
      <c r="P221" s="84"/>
    </row>
  </sheetData>
  <phoneticPr fontId="3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6</vt:i4>
      </vt:variant>
    </vt:vector>
  </HeadingPairs>
  <TitlesOfParts>
    <vt:vector size="6" baseType="lpstr">
      <vt:lpstr>Initial data</vt:lpstr>
      <vt:lpstr>Model</vt:lpstr>
      <vt:lpstr>Sensit</vt:lpstr>
      <vt:lpstr>Additional data</vt:lpstr>
      <vt:lpstr>Assump</vt:lpstr>
      <vt:lpstr>Liz.grafikas</vt:lpstr>
    </vt:vector>
  </TitlesOfParts>
  <Company>SEVEN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Vasilina Valatkaite</dc:creator>
  <cp:lastModifiedBy>Tomas Paulaitis</cp:lastModifiedBy>
  <dcterms:created xsi:type="dcterms:W3CDTF">2010-08-25T08:19:12Z</dcterms:created>
  <dcterms:modified xsi:type="dcterms:W3CDTF">2011-08-24T16:53:28Z</dcterms:modified>
</cp:coreProperties>
</file>