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390" windowHeight="4500" tabRatio="606" firstSheet="1" activeTab="6"/>
  </bookViews>
  <sheets>
    <sheet name="Time schedule" sheetId="1" r:id="rId1"/>
    <sheet name="Calculation" sheetId="2" r:id="rId2"/>
    <sheet name="Sensitivity" sheetId="3" r:id="rId3"/>
    <sheet name="Long-term financing" sheetId="4" r:id="rId4"/>
    <sheet name="Financing" sheetId="5" r:id="rId5"/>
    <sheet name="Operation_exp" sheetId="6" r:id="rId6"/>
    <sheet name="Baseline" sheetId="7" r:id="rId7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8"/>
            <rFont val="Tahoma"/>
            <family val="0"/>
          </rPr>
          <t>Accumulated energy production during period 03 2009 - 12 2009 (the start-up time is different)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C2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Interst for 3 months
</t>
        </r>
      </text>
    </comment>
    <comment ref="D2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Interest for 5 months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Enercon data</t>
        </r>
      </text>
    </comment>
  </commentList>
</comments>
</file>

<file path=xl/sharedStrings.xml><?xml version="1.0" encoding="utf-8"?>
<sst xmlns="http://schemas.openxmlformats.org/spreadsheetml/2006/main" count="377" uniqueCount="188">
  <si>
    <t>Prijungimo mokestis uz 1MW</t>
  </si>
  <si>
    <t>LTL</t>
  </si>
  <si>
    <t>2006 m</t>
  </si>
  <si>
    <t>2007 m</t>
  </si>
  <si>
    <t>2008 m</t>
  </si>
  <si>
    <t>2009 m</t>
  </si>
  <si>
    <t xml:space="preserve"> </t>
  </si>
  <si>
    <t>Pajamos skaiciuojamos nuo 2009 metų rugsėjo mėnesio, (už 3 mėnesius)</t>
  </si>
  <si>
    <t>Turbine's number</t>
  </si>
  <si>
    <t>Efficiency</t>
  </si>
  <si>
    <t>kWh price, LTL</t>
  </si>
  <si>
    <t>Total production, kWh</t>
  </si>
  <si>
    <t>E-82 energy production, kWh/year</t>
  </si>
  <si>
    <t>Income for energy sale, per month</t>
  </si>
  <si>
    <t>Income from ERUs sale, per year</t>
  </si>
  <si>
    <t>Operation expences</t>
  </si>
  <si>
    <t>Total income per year</t>
  </si>
  <si>
    <t>Total Expenses per year</t>
  </si>
  <si>
    <t>Profit</t>
  </si>
  <si>
    <t>Taxe rate %</t>
  </si>
  <si>
    <t>Taxes, Lt</t>
  </si>
  <si>
    <t>Numbers values divided from</t>
  </si>
  <si>
    <t>Profit after taxes</t>
  </si>
  <si>
    <t>Acumulated profit (loss)</t>
  </si>
  <si>
    <t>Balance</t>
  </si>
  <si>
    <t>Other capital</t>
  </si>
  <si>
    <t>Debts</t>
  </si>
  <si>
    <t>Long-term debt</t>
  </si>
  <si>
    <t>Other liability</t>
  </si>
  <si>
    <t>Necessary finnasing/free money</t>
  </si>
  <si>
    <t>Rising of income</t>
  </si>
  <si>
    <t>Total long-term assets</t>
  </si>
  <si>
    <t>Short-term assets</t>
  </si>
  <si>
    <t>Long-term assets</t>
  </si>
  <si>
    <t>Equity capital</t>
  </si>
  <si>
    <t>Cash flow statement</t>
  </si>
  <si>
    <t>Depreciation</t>
  </si>
  <si>
    <t>Loan</t>
  </si>
  <si>
    <t>Total financial reserve</t>
  </si>
  <si>
    <t>Total assets</t>
  </si>
  <si>
    <t xml:space="preserve">Cash flow </t>
  </si>
  <si>
    <t>Loan redemption</t>
  </si>
  <si>
    <t xml:space="preserve">Cumulative cash flow </t>
  </si>
  <si>
    <t>Sensitivity analysis</t>
  </si>
  <si>
    <t>Energy production varaition range</t>
  </si>
  <si>
    <t>ERUs price variation range</t>
  </si>
  <si>
    <t>ERUs price, Euro</t>
  </si>
  <si>
    <t>Project IRR (without ERUs income)</t>
  </si>
  <si>
    <t>Equity IRR (without ERUs income)</t>
  </si>
  <si>
    <t>Project IRR (including ERUs income)</t>
  </si>
  <si>
    <t>Equity IRR (including ERUs income)</t>
  </si>
  <si>
    <t>Shareholdes contribution (own capital)</t>
  </si>
  <si>
    <t>Cash payments</t>
  </si>
  <si>
    <t>Net cash payments</t>
  </si>
  <si>
    <t>Interest payments</t>
  </si>
  <si>
    <t>EBITDA (without CO2)</t>
  </si>
  <si>
    <t>EBITDA (with CO2)</t>
  </si>
  <si>
    <t>Profit before TAX (without CO2)</t>
  </si>
  <si>
    <t>Profit before TAX (with CO2)</t>
  </si>
  <si>
    <t>Taxes (without CO2)</t>
  </si>
  <si>
    <t>Taxes (with CO2)</t>
  </si>
  <si>
    <t>Profit after TAX (without CO2)</t>
  </si>
  <si>
    <t>Profit after TAX (with CO2)</t>
  </si>
  <si>
    <t>Cash flow (without CO2)</t>
  </si>
  <si>
    <t>Cash flow (with CO2)</t>
  </si>
  <si>
    <t>Cumulative (with CO2)</t>
  </si>
  <si>
    <t>Cumulative (without CO2)</t>
  </si>
  <si>
    <t>PROJECT IRR (with CO2), %</t>
  </si>
  <si>
    <t>PROJECT IRR (without CO2), %</t>
  </si>
  <si>
    <t>EQUITY IRR (with CO2), %</t>
  </si>
  <si>
    <t>EQUITY IRR (without CO2), %</t>
  </si>
  <si>
    <t>Stage I</t>
  </si>
  <si>
    <t>Stage II</t>
  </si>
  <si>
    <t>Total</t>
  </si>
  <si>
    <t>Money demand</t>
  </si>
  <si>
    <t>Detailed plan</t>
  </si>
  <si>
    <t>Geology</t>
  </si>
  <si>
    <t>Technical project</t>
  </si>
  <si>
    <t>Power part's project</t>
  </si>
  <si>
    <t>Project expertize</t>
  </si>
  <si>
    <t>Land borders registration</t>
  </si>
  <si>
    <t>Env.impact assesment</t>
  </si>
  <si>
    <t>IT devices</t>
  </si>
  <si>
    <t>Geodezy, topography</t>
  </si>
  <si>
    <t>Designing</t>
  </si>
  <si>
    <t>Long-term assets asq.</t>
  </si>
  <si>
    <t>Roads</t>
  </si>
  <si>
    <t>Foundation</t>
  </si>
  <si>
    <t>Transportation</t>
  </si>
  <si>
    <t>Crane, crane transportation</t>
  </si>
  <si>
    <t>Turbines E- 82</t>
  </si>
  <si>
    <t>600/10 kV Transformator</t>
  </si>
  <si>
    <t>Transformator substation erection</t>
  </si>
  <si>
    <t>Grid connection fee</t>
  </si>
  <si>
    <t>Erection</t>
  </si>
  <si>
    <t>Long-term investments</t>
  </si>
  <si>
    <t>Participation into competition (connection)</t>
  </si>
  <si>
    <t>Vehicle</t>
  </si>
  <si>
    <t>Business trips</t>
  </si>
  <si>
    <t>Phone</t>
  </si>
  <si>
    <t>Office expences</t>
  </si>
  <si>
    <t>Accountant wage</t>
  </si>
  <si>
    <t>Project manager wage</t>
  </si>
  <si>
    <t>Social taxes</t>
  </si>
  <si>
    <t>Documentation preparation</t>
  </si>
  <si>
    <t>2006 10 30 Expenses</t>
  </si>
  <si>
    <t>Expenses</t>
  </si>
  <si>
    <t>Net demand</t>
  </si>
  <si>
    <t>Cash</t>
  </si>
  <si>
    <t>Net assets</t>
  </si>
  <si>
    <t>Exploatation of vehicle</t>
  </si>
  <si>
    <t>Authorized capital</t>
  </si>
  <si>
    <t>Necessary financing</t>
  </si>
  <si>
    <t>Own capital</t>
  </si>
  <si>
    <t>Shareloders funds</t>
  </si>
  <si>
    <t>Financing</t>
  </si>
  <si>
    <t>New liability</t>
  </si>
  <si>
    <t>Liability</t>
  </si>
  <si>
    <t>Monthly coverage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</si>
  <si>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</si>
  <si>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</si>
  <si>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</si>
  <si>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</si>
  <si>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</si>
  <si>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</si>
  <si>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</si>
  <si>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</si>
  <si>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</si>
  <si>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</si>
  <si>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</si>
  <si>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</si>
  <si>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Exchange</t>
  </si>
  <si>
    <t>Turbines E- 82 + elevator</t>
  </si>
  <si>
    <t>20 kV cables</t>
  </si>
  <si>
    <t>Documentation</t>
  </si>
  <si>
    <t>Number</t>
  </si>
  <si>
    <t>Price, EUR</t>
  </si>
  <si>
    <t>Total, EUR</t>
  </si>
  <si>
    <t>Total, LTL</t>
  </si>
  <si>
    <t>Depr.period</t>
  </si>
  <si>
    <t>Depr.value</t>
  </si>
  <si>
    <t>Residual balance value</t>
  </si>
  <si>
    <t>Value of money</t>
  </si>
  <si>
    <t>Financing rate %</t>
  </si>
  <si>
    <t>Loan period</t>
  </si>
  <si>
    <t>Loan size</t>
  </si>
  <si>
    <t>Loan in beginning of year</t>
  </si>
  <si>
    <t>Loan residue</t>
  </si>
  <si>
    <t>Sum of value of money</t>
  </si>
  <si>
    <t>Company's fund</t>
  </si>
  <si>
    <t>Wages</t>
  </si>
  <si>
    <t>Representation expenses</t>
  </si>
  <si>
    <t>Mobile phone</t>
  </si>
  <si>
    <t>Ofice phone</t>
  </si>
  <si>
    <t>Insuarance</t>
  </si>
  <si>
    <t>Other taxes</t>
  </si>
  <si>
    <t>Land lease</t>
  </si>
  <si>
    <t>Unpredicted expences</t>
  </si>
  <si>
    <t>Net operation expences</t>
  </si>
  <si>
    <t>Interest</t>
  </si>
  <si>
    <t>Total company's expences</t>
  </si>
  <si>
    <t>O&amp;M warranty (Enercon)</t>
  </si>
  <si>
    <t>Yearly expences rise %</t>
  </si>
  <si>
    <t xml:space="preserve">Shareholders contribution </t>
  </si>
  <si>
    <t>Cumulative coverage</t>
  </si>
  <si>
    <t>tCO2/MWh</t>
  </si>
  <si>
    <t>MWh</t>
  </si>
  <si>
    <t>tCO2</t>
  </si>
  <si>
    <t>Output into grid, MWh/year</t>
  </si>
  <si>
    <t>MWh/month</t>
  </si>
  <si>
    <t>Average</t>
  </si>
  <si>
    <t>Months</t>
  </si>
  <si>
    <t>Year</t>
  </si>
  <si>
    <t>Energy output, MWh/year</t>
  </si>
  <si>
    <t>Park's production, MWh/year</t>
  </si>
  <si>
    <t>1 WEC's production, MWh/year</t>
  </si>
  <si>
    <t>WEC No.</t>
  </si>
  <si>
    <t>July</t>
  </si>
  <si>
    <t>August</t>
  </si>
  <si>
    <t>1 WEC's production, MWh/month</t>
  </si>
  <si>
    <t>Operating months</t>
  </si>
  <si>
    <t>Total with losses:</t>
  </si>
  <si>
    <t>Total:</t>
  </si>
  <si>
    <t>Start-up</t>
  </si>
  <si>
    <t>AB Lietuvos elektrine</t>
  </si>
  <si>
    <t>Vidurkis</t>
  </si>
  <si>
    <t>September</t>
  </si>
  <si>
    <t>Loses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</si>
</sst>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  <numFmt numFmtId="174" formatCode="_-* #,##0\ _L_t_-;\-* #,##0\ _L_t_-;_-* &quot;-&quot;??\ _L_t_-;_-@_-"/>
    <numFmt numFmtId="175" formatCode="#,##0_ ;\-#,##0\ "/>
    <numFmt numFmtId="176" formatCode="#,##0_ ;[Red]\-#,##0\ "/>
    <numFmt numFmtId="177" formatCode="#,##0.0_ ;[Red]\-#,##0.0\ "/>
    <numFmt numFmtId="178" formatCode="#,##0.000_ ;[Red]\-#,##0.000\ "/>
    <numFmt numFmtId="179" formatCode="_-* #,##0.0\ _L_t_-;\-* #,##0.0\ _L_t_-;_-* &quot;-&quot;??\ _L_t_-;_-@_-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#,##0\ [$€-1];[Red]\-#,##0\ [$€-1]"/>
    <numFmt numFmtId="192" formatCode="#,##0.00\ [$€-1];[Red]\-#,##0.00\ [$€-1]"/>
    <numFmt numFmtId="193" formatCode="#,##0.0_ ;\-#,##0.0\ "/>
    <numFmt numFmtId="194" formatCode="0.0%"/>
    <numFmt numFmtId="195" formatCode="#,##0.0000_ ;[Red]\-#,##0.00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i/>
      <sz val="10"/>
      <color indexed="10"/>
      <name val="Arial"/>
      <family val="2"/>
    </font>
    <font>
      <u val="single"/>
      <sz val="8.2"/>
      <color indexed="12"/>
      <name val="Arial"/>
      <family val="0"/>
    </font>
    <font>
      <u val="single"/>
      <sz val="8.2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9.75"/>
      <color indexed="8"/>
      <name val="Times New Roman"/>
      <family val="0"/>
    </font>
    <font>
      <sz val="9.2"/>
      <color indexed="8"/>
      <name val="Times New Roman"/>
      <family val="0"/>
    </font>
    <font>
      <i/>
      <sz val="11"/>
      <color indexed="23"/>
      <name val="Calibri"/>
      <family val="2"/>
    </font>
    <font>
      <b/>
      <sz val="9.75"/>
      <color indexed="8"/>
      <name val="Times New Roman"/>
      <family val="0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/>
      <right style="thin"/>
      <top/>
      <bottom/>
    </border>
    <border>
      <left/>
      <right style="thin"/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3" borderId="0" applyNumberFormat="0" applyBorder="0" applyAlignment="0" applyProtection="0"/>
    <xf numFmtId="0" fontId="10" fillId="25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24" borderId="1" applyNumberFormat="0" applyAlignment="0" applyProtection="0"/>
    <xf numFmtId="0" fontId="18" fillId="0" borderId="6" applyNumberFormat="0" applyFill="0" applyAlignment="0" applyProtection="0"/>
    <xf numFmtId="0" fontId="18" fillId="24" borderId="0" applyNumberFormat="0" applyBorder="0" applyAlignment="0" applyProtection="0"/>
    <xf numFmtId="0" fontId="0" fillId="23" borderId="7" applyNumberFormat="0" applyFont="0" applyAlignment="0" applyProtection="0"/>
    <xf numFmtId="0" fontId="19" fillId="2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3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Fill="1" applyBorder="1" applyAlignment="1">
      <alignment/>
    </xf>
    <xf numFmtId="174" fontId="3" fillId="0" borderId="0" xfId="6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4" fontId="4" fillId="3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" fontId="4" fillId="30" borderId="11" xfId="0" applyNumberFormat="1" applyFont="1" applyFill="1" applyBorder="1" applyAlignment="1">
      <alignment/>
    </xf>
    <xf numFmtId="3" fontId="5" fillId="31" borderId="11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30" borderId="18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0" xfId="0" applyFont="1" applyBorder="1" applyAlignment="1">
      <alignment textRotation="90"/>
    </xf>
    <xf numFmtId="0" fontId="5" fillId="0" borderId="0" xfId="0" applyFont="1" applyBorder="1" applyAlignment="1">
      <alignment textRotation="90"/>
    </xf>
    <xf numFmtId="0" fontId="5" fillId="0" borderId="0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10" xfId="0" applyNumberFormat="1" applyFont="1" applyBorder="1" applyAlignment="1">
      <alignment horizontal="left"/>
    </xf>
    <xf numFmtId="172" fontId="5" fillId="0" borderId="0" xfId="0" applyNumberFormat="1" applyFont="1" applyBorder="1" applyAlignment="1">
      <alignment textRotation="90"/>
    </xf>
    <xf numFmtId="172" fontId="4" fillId="0" borderId="0" xfId="0" applyNumberFormat="1" applyFont="1" applyBorder="1" applyAlignment="1">
      <alignment textRotation="90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left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Fill="1" applyBorder="1" applyAlignment="1">
      <alignment/>
    </xf>
    <xf numFmtId="174" fontId="4" fillId="0" borderId="0" xfId="60" applyNumberFormat="1" applyFont="1" applyBorder="1" applyAlignment="1">
      <alignment/>
    </xf>
    <xf numFmtId="173" fontId="4" fillId="30" borderId="0" xfId="0" applyNumberFormat="1" applyFont="1" applyFill="1" applyBorder="1" applyAlignment="1">
      <alignment/>
    </xf>
    <xf numFmtId="172" fontId="4" fillId="0" borderId="0" xfId="6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0" borderId="10" xfId="0" applyNumberFormat="1" applyFont="1" applyFill="1" applyBorder="1" applyAlignment="1">
      <alignment/>
    </xf>
    <xf numFmtId="172" fontId="4" fillId="0" borderId="10" xfId="6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60" applyNumberFormat="1" applyFont="1" applyBorder="1" applyAlignment="1">
      <alignment/>
    </xf>
    <xf numFmtId="172" fontId="5" fillId="0" borderId="10" xfId="60" applyNumberFormat="1" applyFont="1" applyBorder="1" applyAlignment="1">
      <alignment/>
    </xf>
    <xf numFmtId="0" fontId="5" fillId="0" borderId="20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4" fillId="0" borderId="0" xfId="6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4" fillId="0" borderId="21" xfId="60" applyNumberFormat="1" applyFont="1" applyFill="1" applyBorder="1" applyAlignment="1">
      <alignment/>
    </xf>
    <xf numFmtId="172" fontId="4" fillId="0" borderId="21" xfId="60" applyNumberFormat="1" applyFont="1" applyFill="1" applyBorder="1" applyAlignment="1">
      <alignment/>
    </xf>
    <xf numFmtId="172" fontId="4" fillId="0" borderId="21" xfId="0" applyNumberFormat="1" applyFont="1" applyFill="1" applyBorder="1" applyAlignment="1">
      <alignment/>
    </xf>
    <xf numFmtId="172" fontId="4" fillId="0" borderId="18" xfId="60" applyNumberFormat="1" applyFont="1" applyFill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16" xfId="60" applyNumberFormat="1" applyFont="1" applyBorder="1" applyAlignment="1">
      <alignment/>
    </xf>
    <xf numFmtId="172" fontId="5" fillId="0" borderId="17" xfId="6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1" xfId="6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8" xfId="60" applyNumberFormat="1" applyFont="1" applyBorder="1" applyAlignment="1">
      <alignment/>
    </xf>
    <xf numFmtId="172" fontId="4" fillId="0" borderId="18" xfId="0" applyNumberFormat="1" applyFont="1" applyFill="1" applyBorder="1" applyAlignment="1">
      <alignment/>
    </xf>
    <xf numFmtId="172" fontId="5" fillId="0" borderId="12" xfId="0" applyNumberFormat="1" applyFont="1" applyBorder="1" applyAlignment="1">
      <alignment horizontal="left"/>
    </xf>
    <xf numFmtId="172" fontId="5" fillId="0" borderId="16" xfId="0" applyNumberFormat="1" applyFont="1" applyFill="1" applyBorder="1" applyAlignment="1">
      <alignment/>
    </xf>
    <xf numFmtId="172" fontId="5" fillId="0" borderId="22" xfId="0" applyNumberFormat="1" applyFont="1" applyBorder="1" applyAlignment="1">
      <alignment/>
    </xf>
    <xf numFmtId="172" fontId="4" fillId="0" borderId="10" xfId="6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73" fontId="4" fillId="0" borderId="18" xfId="0" applyNumberFormat="1" applyFont="1" applyBorder="1" applyAlignment="1">
      <alignment/>
    </xf>
    <xf numFmtId="173" fontId="4" fillId="0" borderId="12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173" fontId="5" fillId="0" borderId="24" xfId="0" applyNumberFormat="1" applyFont="1" applyBorder="1" applyAlignment="1">
      <alignment/>
    </xf>
    <xf numFmtId="172" fontId="5" fillId="0" borderId="24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3" fontId="5" fillId="0" borderId="26" xfId="0" applyNumberFormat="1" applyFont="1" applyBorder="1" applyAlignment="1">
      <alignment/>
    </xf>
    <xf numFmtId="172" fontId="5" fillId="0" borderId="26" xfId="0" applyNumberFormat="1" applyFont="1" applyFill="1" applyBorder="1" applyAlignment="1">
      <alignment/>
    </xf>
    <xf numFmtId="172" fontId="5" fillId="0" borderId="27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172" fontId="4" fillId="0" borderId="28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1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60" applyNumberFormat="1" applyFont="1" applyBorder="1" applyAlignment="1">
      <alignment/>
    </xf>
    <xf numFmtId="0" fontId="22" fillId="0" borderId="30" xfId="0" applyFont="1" applyBorder="1" applyAlignment="1">
      <alignment/>
    </xf>
    <xf numFmtId="175" fontId="4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 horizontal="right"/>
    </xf>
    <xf numFmtId="172" fontId="4" fillId="3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23" fillId="0" borderId="18" xfId="0" applyFont="1" applyBorder="1" applyAlignment="1">
      <alignment/>
    </xf>
    <xf numFmtId="172" fontId="5" fillId="0" borderId="16" xfId="0" applyNumberFormat="1" applyFont="1" applyBorder="1" applyAlignment="1">
      <alignment horizontal="right" vertical="top" wrapText="1"/>
    </xf>
    <xf numFmtId="172" fontId="5" fillId="0" borderId="17" xfId="0" applyNumberFormat="1" applyFont="1" applyBorder="1" applyAlignment="1">
      <alignment horizontal="right" vertical="top" wrapText="1"/>
    </xf>
    <xf numFmtId="172" fontId="5" fillId="0" borderId="14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right" vertical="top" wrapText="1"/>
    </xf>
    <xf numFmtId="172" fontId="4" fillId="30" borderId="1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72" fontId="4" fillId="0" borderId="18" xfId="0" applyNumberFormat="1" applyFont="1" applyBorder="1" applyAlignment="1">
      <alignment/>
    </xf>
    <xf numFmtId="0" fontId="4" fillId="0" borderId="21" xfId="0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23" fillId="0" borderId="1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/>
    </xf>
    <xf numFmtId="0" fontId="22" fillId="0" borderId="32" xfId="0" applyFont="1" applyBorder="1" applyAlignment="1">
      <alignment/>
    </xf>
    <xf numFmtId="172" fontId="5" fillId="0" borderId="28" xfId="0" applyNumberFormat="1" applyFont="1" applyBorder="1" applyAlignment="1">
      <alignment/>
    </xf>
    <xf numFmtId="172" fontId="4" fillId="0" borderId="28" xfId="60" applyNumberFormat="1" applyFont="1" applyBorder="1" applyAlignment="1">
      <alignment/>
    </xf>
    <xf numFmtId="9" fontId="4" fillId="0" borderId="0" xfId="80" applyFont="1" applyBorder="1" applyAlignment="1">
      <alignment/>
    </xf>
    <xf numFmtId="172" fontId="4" fillId="0" borderId="0" xfId="6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173" fontId="4" fillId="0" borderId="0" xfId="0" applyNumberFormat="1" applyFont="1" applyFill="1" applyBorder="1" applyAlignment="1">
      <alignment/>
    </xf>
    <xf numFmtId="174" fontId="4" fillId="0" borderId="0" xfId="6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194" fontId="0" fillId="0" borderId="0" xfId="0" applyNumberFormat="1" applyFont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0" fontId="28" fillId="30" borderId="0" xfId="0" applyNumberFormat="1" applyFont="1" applyFill="1" applyAlignment="1">
      <alignment horizontal="right"/>
    </xf>
    <xf numFmtId="17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73" fontId="4" fillId="5" borderId="10" xfId="0" applyNumberFormat="1" applyFont="1" applyFill="1" applyBorder="1" applyAlignment="1">
      <alignment/>
    </xf>
    <xf numFmtId="176" fontId="4" fillId="0" borderId="33" xfId="60" applyNumberFormat="1" applyFont="1" applyFill="1" applyBorder="1" applyAlignment="1">
      <alignment horizontal="right"/>
    </xf>
    <xf numFmtId="172" fontId="5" fillId="0" borderId="16" xfId="60" applyNumberFormat="1" applyFont="1" applyFill="1" applyBorder="1" applyAlignment="1">
      <alignment/>
    </xf>
    <xf numFmtId="172" fontId="5" fillId="0" borderId="17" xfId="60" applyNumberFormat="1" applyFont="1" applyFill="1" applyBorder="1" applyAlignment="1">
      <alignment/>
    </xf>
    <xf numFmtId="0" fontId="27" fillId="5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9" fontId="4" fillId="0" borderId="10" xfId="80" applyFont="1" applyBorder="1" applyAlignment="1">
      <alignment/>
    </xf>
    <xf numFmtId="9" fontId="24" fillId="0" borderId="10" xfId="80" applyFont="1" applyBorder="1" applyAlignment="1">
      <alignment/>
    </xf>
    <xf numFmtId="176" fontId="4" fillId="0" borderId="10" xfId="60" applyNumberFormat="1" applyFont="1" applyFill="1" applyBorder="1" applyAlignment="1">
      <alignment/>
    </xf>
    <xf numFmtId="176" fontId="24" fillId="0" borderId="10" xfId="60" applyNumberFormat="1" applyFont="1" applyFill="1" applyBorder="1" applyAlignment="1">
      <alignment/>
    </xf>
    <xf numFmtId="172" fontId="24" fillId="0" borderId="10" xfId="60" applyNumberFormat="1" applyFont="1" applyFill="1" applyBorder="1" applyAlignment="1">
      <alignment/>
    </xf>
    <xf numFmtId="9" fontId="24" fillId="0" borderId="10" xfId="80" applyFont="1" applyBorder="1" applyAlignment="1">
      <alignment horizontal="right"/>
    </xf>
    <xf numFmtId="172" fontId="24" fillId="0" borderId="10" xfId="60" applyNumberFormat="1" applyFont="1" applyFill="1" applyBorder="1" applyAlignment="1">
      <alignment horizontal="right"/>
    </xf>
    <xf numFmtId="2" fontId="24" fillId="0" borderId="10" xfId="6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2" fontId="4" fillId="0" borderId="10" xfId="60" applyNumberFormat="1" applyFont="1" applyBorder="1" applyAlignment="1">
      <alignment horizontal="right"/>
    </xf>
    <xf numFmtId="193" fontId="4" fillId="30" borderId="10" xfId="0" applyNumberFormat="1" applyFont="1" applyFill="1" applyBorder="1" applyAlignment="1">
      <alignment/>
    </xf>
    <xf numFmtId="193" fontId="4" fillId="30" borderId="10" xfId="6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3" fontId="4" fillId="30" borderId="18" xfId="60" applyNumberFormat="1" applyFont="1" applyFill="1" applyBorder="1" applyAlignment="1">
      <alignment/>
    </xf>
    <xf numFmtId="175" fontId="4" fillId="30" borderId="34" xfId="6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right"/>
    </xf>
    <xf numFmtId="0" fontId="27" fillId="0" borderId="10" xfId="0" applyFont="1" applyFill="1" applyBorder="1" applyAlignment="1">
      <alignment horizontal="left"/>
    </xf>
    <xf numFmtId="173" fontId="4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7" borderId="10" xfId="0" applyFont="1" applyFill="1" applyBorder="1" applyAlignment="1">
      <alignment horizontal="left"/>
    </xf>
    <xf numFmtId="173" fontId="4" fillId="7" borderId="10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 horizontal="right"/>
    </xf>
    <xf numFmtId="0" fontId="27" fillId="7" borderId="10" xfId="0" applyFont="1" applyFill="1" applyBorder="1" applyAlignment="1">
      <alignment/>
    </xf>
    <xf numFmtId="0" fontId="28" fillId="7" borderId="0" xfId="0" applyFont="1" applyFill="1" applyAlignment="1">
      <alignment horizontal="right"/>
    </xf>
    <xf numFmtId="10" fontId="0" fillId="7" borderId="0" xfId="0" applyNumberFormat="1" applyFont="1" applyFill="1" applyAlignment="1">
      <alignment horizontal="right"/>
    </xf>
    <xf numFmtId="4" fontId="0" fillId="7" borderId="0" xfId="0" applyNumberFormat="1" applyFont="1" applyFill="1" applyAlignment="1">
      <alignment/>
    </xf>
    <xf numFmtId="173" fontId="4" fillId="7" borderId="0" xfId="0" applyNumberFormat="1" applyFont="1" applyFill="1" applyBorder="1" applyAlignment="1">
      <alignment/>
    </xf>
    <xf numFmtId="10" fontId="28" fillId="30" borderId="35" xfId="0" applyNumberFormat="1" applyFont="1" applyFill="1" applyBorder="1" applyAlignment="1">
      <alignment horizontal="right"/>
    </xf>
    <xf numFmtId="0" fontId="5" fillId="0" borderId="31" xfId="0" applyFont="1" applyBorder="1" applyAlignment="1">
      <alignment/>
    </xf>
    <xf numFmtId="3" fontId="5" fillId="0" borderId="17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172" fontId="4" fillId="3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40" fontId="4" fillId="0" borderId="39" xfId="0" applyNumberFormat="1" applyFont="1" applyBorder="1" applyAlignment="1">
      <alignment horizontal="right"/>
    </xf>
    <xf numFmtId="40" fontId="4" fillId="30" borderId="40" xfId="0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172" fontId="4" fillId="0" borderId="4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80" applyNumberFormat="1" applyFont="1" applyAlignment="1">
      <alignment/>
    </xf>
    <xf numFmtId="0" fontId="27" fillId="0" borderId="0" xfId="80" applyNumberFormat="1" applyFont="1" applyAlignment="1">
      <alignment/>
    </xf>
    <xf numFmtId="1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1" fontId="27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29" fillId="0" borderId="0" xfId="0" applyNumberFormat="1" applyFont="1" applyAlignment="1">
      <alignment horizontal="center"/>
    </xf>
    <xf numFmtId="1" fontId="27" fillId="0" borderId="0" xfId="0" applyNumberFormat="1" applyFont="1" applyAlignment="1">
      <alignment/>
    </xf>
    <xf numFmtId="180" fontId="2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0" fontId="0" fillId="0" borderId="0" xfId="0" applyNumberFormat="1" applyFont="1" applyFill="1" applyAlignment="1">
      <alignment horizontal="right"/>
    </xf>
    <xf numFmtId="10" fontId="0" fillId="7" borderId="0" xfId="0" applyNumberFormat="1" applyFont="1" applyFill="1" applyAlignment="1">
      <alignment horizontal="right"/>
    </xf>
    <xf numFmtId="2" fontId="4" fillId="0" borderId="10" xfId="0" applyNumberFormat="1" applyFont="1" applyFill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Baseline emissions</a:t>
            </a:r>
          </a:p>
        </c:rich>
      </c:tx>
      <c:layout>
        <c:manualLayout>
          <c:xMode val="factor"/>
          <c:yMode val="factor"/>
          <c:x val="0.020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55"/>
          <c:w val="0.9085"/>
          <c:h val="0.6015"/>
        </c:manualLayout>
      </c:layout>
      <c:lineChart>
        <c:grouping val="standard"/>
        <c:varyColors val="0"/>
        <c:ser>
          <c:idx val="0"/>
          <c:order val="0"/>
          <c:tx>
            <c:v>Baseline scenario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Baseline!$A$46:$A$50</c:f>
              <c:numCache/>
            </c:numRef>
          </c:cat>
          <c:val>
            <c:numRef>
              <c:f>Baseline!$C$46:$C$50</c:f>
              <c:numCache/>
            </c:numRef>
          </c:val>
          <c:smooth val="0"/>
        </c:ser>
        <c:ser>
          <c:idx val="1"/>
          <c:order val="1"/>
          <c:tx>
            <c:v>Project scenario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Baseline!$A$46:$A$50</c:f>
              <c:numCache/>
            </c:numRef>
          </c:cat>
          <c:val>
            <c:numRef>
              <c:f>Baseline!$I$46:$I$50</c:f>
              <c:numCache/>
            </c:numRef>
          </c:val>
          <c:smooth val="0"/>
        </c:ser>
        <c:marker val="1"/>
        <c:axId val="4477321"/>
        <c:axId val="40295890"/>
      </c:lineChart>
      <c:catAx>
        <c:axId val="447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ths. tCO2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321"/>
        <c:crossesAt val="1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87975"/>
          <c:w val="0.63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19050</xdr:rowOff>
    </xdr:from>
    <xdr:to>
      <xdr:col>8</xdr:col>
      <xdr:colOff>66675</xdr:colOff>
      <xdr:row>68</xdr:row>
      <xdr:rowOff>47625</xdr:rowOff>
    </xdr:to>
    <xdr:graphicFrame>
      <xdr:nvGraphicFramePr>
        <xdr:cNvPr id="1" name="Chart 2"/>
        <xdr:cNvGraphicFramePr/>
      </xdr:nvGraphicFramePr>
      <xdr:xfrm>
        <a:off x="371475" y="8639175"/>
        <a:ext cx="46672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3"/>
  <sheetViews>
    <sheetView view="pageLayout" zoomScaleNormal="120" workbookViewId="0" topLeftCell="A1">
      <selection activeCell="AN14" sqref="AN14"/>
    </sheetView>
  </sheetViews>
  <sheetFormatPr defaultColWidth="3.57421875" defaultRowHeight="12.75" outlineLevelRow="1" outlineLevelCol="1"/>
  <cols>
    <col min="1" max="1" width="33.8515625" style="14" bestFit="1" customWidth="1"/>
    <col min="2" max="2" width="7.421875" style="14" customWidth="1" outlineLevel="1"/>
    <col min="3" max="3" width="8.28125" style="14" customWidth="1" outlineLevel="1"/>
    <col min="4" max="4" width="8.421875" style="14" customWidth="1" outlineLevel="1"/>
    <col min="5" max="6" width="8.28125" style="14" customWidth="1" outlineLevel="1"/>
    <col min="7" max="10" width="8.421875" style="14" customWidth="1" outlineLevel="1"/>
    <col min="11" max="11" width="9.8515625" style="14" customWidth="1" outlineLevel="1"/>
    <col min="12" max="16" width="8.421875" style="14" customWidth="1" outlineLevel="1"/>
    <col min="17" max="21" width="9.7109375" style="14" customWidth="1" outlineLevel="1"/>
    <col min="22" max="22" width="9.7109375" style="14" bestFit="1" customWidth="1"/>
    <col min="23" max="24" width="9.7109375" style="14" hidden="1" customWidth="1" outlineLevel="1"/>
    <col min="25" max="37" width="10.8515625" style="14" hidden="1" customWidth="1" outlineLevel="1"/>
    <col min="38" max="38" width="10.8515625" style="14" bestFit="1" customWidth="1" collapsed="1"/>
    <col min="39" max="39" width="10.140625" style="14" bestFit="1" customWidth="1"/>
    <col min="40" max="40" width="11.28125" style="14" customWidth="1"/>
    <col min="41" max="16384" width="3.57421875" style="14" customWidth="1"/>
  </cols>
  <sheetData>
    <row r="2" spans="1:38" s="17" customFormat="1" ht="12.75">
      <c r="A2" s="55"/>
      <c r="B2" s="17" t="s">
        <v>2</v>
      </c>
      <c r="C2" s="17" t="s">
        <v>2</v>
      </c>
      <c r="D2" s="17" t="s">
        <v>3</v>
      </c>
      <c r="E2" s="17" t="s">
        <v>3</v>
      </c>
      <c r="F2" s="17" t="s">
        <v>3</v>
      </c>
      <c r="G2" s="17" t="s">
        <v>3</v>
      </c>
      <c r="H2" s="17" t="s">
        <v>3</v>
      </c>
      <c r="I2" s="17" t="s">
        <v>3</v>
      </c>
      <c r="J2" s="17" t="s">
        <v>3</v>
      </c>
      <c r="K2" s="17" t="s">
        <v>3</v>
      </c>
      <c r="L2" s="17" t="s">
        <v>3</v>
      </c>
      <c r="M2" s="17" t="s">
        <v>3</v>
      </c>
      <c r="N2" s="17" t="s">
        <v>3</v>
      </c>
      <c r="O2" s="17" t="s">
        <v>3</v>
      </c>
      <c r="P2" s="17" t="s">
        <v>4</v>
      </c>
      <c r="Q2" s="17" t="s">
        <v>4</v>
      </c>
      <c r="R2" s="17" t="s">
        <v>4</v>
      </c>
      <c r="S2" s="17" t="s">
        <v>4</v>
      </c>
      <c r="T2" s="17" t="s">
        <v>4</v>
      </c>
      <c r="U2" s="17" t="s">
        <v>4</v>
      </c>
      <c r="V2" s="67" t="s">
        <v>73</v>
      </c>
      <c r="W2" s="17" t="s">
        <v>4</v>
      </c>
      <c r="X2" s="17" t="s">
        <v>4</v>
      </c>
      <c r="Y2" s="17" t="s">
        <v>4</v>
      </c>
      <c r="Z2" s="17" t="s">
        <v>4</v>
      </c>
      <c r="AA2" s="17" t="s">
        <v>4</v>
      </c>
      <c r="AB2" s="17" t="s">
        <v>4</v>
      </c>
      <c r="AC2" s="17" t="s">
        <v>5</v>
      </c>
      <c r="AD2" s="17" t="s">
        <v>5</v>
      </c>
      <c r="AE2" s="17" t="s">
        <v>5</v>
      </c>
      <c r="AF2" s="17" t="s">
        <v>5</v>
      </c>
      <c r="AG2" s="17" t="s">
        <v>5</v>
      </c>
      <c r="AH2" s="17" t="s">
        <v>5</v>
      </c>
      <c r="AI2" s="17" t="s">
        <v>5</v>
      </c>
      <c r="AJ2" s="17" t="s">
        <v>5</v>
      </c>
      <c r="AK2" s="17" t="s">
        <v>5</v>
      </c>
      <c r="AL2" s="67" t="s">
        <v>73</v>
      </c>
    </row>
    <row r="3" spans="1:38" s="17" customFormat="1" ht="12.75">
      <c r="A3" s="55" t="s">
        <v>74</v>
      </c>
      <c r="B3" s="17" t="s">
        <v>119</v>
      </c>
      <c r="C3" s="17" t="s">
        <v>120</v>
      </c>
      <c r="D3" s="17" t="s">
        <v>121</v>
      </c>
      <c r="E3" s="17" t="s">
        <v>122</v>
      </c>
      <c r="F3" s="17" t="s">
        <v>123</v>
      </c>
      <c r="G3" s="17" t="s">
        <v>124</v>
      </c>
      <c r="H3" s="17" t="s">
        <v>125</v>
      </c>
      <c r="I3" s="17" t="s">
        <v>126</v>
      </c>
      <c r="J3" s="17" t="s">
        <v>127</v>
      </c>
      <c r="K3" s="17" t="s">
        <v>128</v>
      </c>
      <c r="L3" s="17" t="s">
        <v>129</v>
      </c>
      <c r="M3" s="17" t="s">
        <v>130</v>
      </c>
      <c r="N3" s="17" t="s">
        <v>119</v>
      </c>
      <c r="O3" s="17" t="s">
        <v>120</v>
      </c>
      <c r="P3" s="17" t="s">
        <v>121</v>
      </c>
      <c r="Q3" s="17" t="s">
        <v>122</v>
      </c>
      <c r="R3" s="17" t="s">
        <v>123</v>
      </c>
      <c r="S3" s="17" t="s">
        <v>124</v>
      </c>
      <c r="T3" s="17" t="s">
        <v>125</v>
      </c>
      <c r="U3" s="17" t="s">
        <v>126</v>
      </c>
      <c r="V3" s="67" t="s">
        <v>71</v>
      </c>
      <c r="W3" s="17" t="s">
        <v>127</v>
      </c>
      <c r="X3" s="17" t="s">
        <v>128</v>
      </c>
      <c r="Y3" s="17" t="s">
        <v>129</v>
      </c>
      <c r="Z3" s="17" t="s">
        <v>130</v>
      </c>
      <c r="AA3" s="17" t="s">
        <v>119</v>
      </c>
      <c r="AB3" s="17" t="s">
        <v>120</v>
      </c>
      <c r="AC3" s="17" t="s">
        <v>121</v>
      </c>
      <c r="AD3" s="17" t="s">
        <v>122</v>
      </c>
      <c r="AE3" s="17" t="s">
        <v>123</v>
      </c>
      <c r="AF3" s="17" t="s">
        <v>124</v>
      </c>
      <c r="AG3" s="17" t="s">
        <v>125</v>
      </c>
      <c r="AH3" s="17" t="s">
        <v>126</v>
      </c>
      <c r="AI3" s="17" t="s">
        <v>127</v>
      </c>
      <c r="AJ3" s="17" t="s">
        <v>128</v>
      </c>
      <c r="AK3" s="17" t="s">
        <v>129</v>
      </c>
      <c r="AL3" s="67" t="s">
        <v>72</v>
      </c>
    </row>
    <row r="4" spans="1:38" ht="12.75" outlineLevel="1">
      <c r="A4" s="14" t="s">
        <v>75</v>
      </c>
      <c r="D4" s="14">
        <v>10</v>
      </c>
      <c r="E4" s="14">
        <v>10</v>
      </c>
      <c r="F4" s="14">
        <v>10</v>
      </c>
      <c r="G4" s="14">
        <v>10</v>
      </c>
      <c r="I4" s="57">
        <v>10</v>
      </c>
      <c r="J4" s="57">
        <v>10</v>
      </c>
      <c r="K4" s="14">
        <v>10</v>
      </c>
      <c r="L4" s="14">
        <v>10</v>
      </c>
      <c r="M4" s="14">
        <v>10</v>
      </c>
      <c r="V4" s="56">
        <f aca="true" t="shared" si="0" ref="V4:V35">SUM(B4:U4)</f>
        <v>90</v>
      </c>
      <c r="AL4" s="56">
        <f aca="true" t="shared" si="1" ref="AL4:AL35">SUM(W4:AF4)</f>
        <v>0</v>
      </c>
    </row>
    <row r="5" spans="1:38" ht="12.75" outlineLevel="1">
      <c r="A5" s="14" t="s">
        <v>76</v>
      </c>
      <c r="R5" s="14">
        <v>50</v>
      </c>
      <c r="V5" s="56">
        <f t="shared" si="0"/>
        <v>50</v>
      </c>
      <c r="AL5" s="56">
        <f t="shared" si="1"/>
        <v>0</v>
      </c>
    </row>
    <row r="6" spans="1:38" ht="12.75" outlineLevel="1">
      <c r="A6" s="14" t="s">
        <v>78</v>
      </c>
      <c r="B6" s="14" t="s">
        <v>6</v>
      </c>
      <c r="Q6" s="14">
        <v>40</v>
      </c>
      <c r="U6" s="14">
        <v>160</v>
      </c>
      <c r="V6" s="56">
        <f t="shared" si="0"/>
        <v>200</v>
      </c>
      <c r="AL6" s="56">
        <f t="shared" si="1"/>
        <v>0</v>
      </c>
    </row>
    <row r="7" spans="1:38" ht="12.75" outlineLevel="1">
      <c r="A7" s="14" t="s">
        <v>77</v>
      </c>
      <c r="L7" s="14">
        <v>20</v>
      </c>
      <c r="Q7" s="14">
        <v>40</v>
      </c>
      <c r="V7" s="56">
        <f t="shared" si="0"/>
        <v>60</v>
      </c>
      <c r="AL7" s="56">
        <f t="shared" si="1"/>
        <v>0</v>
      </c>
    </row>
    <row r="8" spans="1:38" ht="12.75" outlineLevel="1">
      <c r="A8" s="14" t="s">
        <v>79</v>
      </c>
      <c r="P8" s="14">
        <v>20</v>
      </c>
      <c r="V8" s="56">
        <f t="shared" si="0"/>
        <v>20</v>
      </c>
      <c r="AL8" s="56">
        <f t="shared" si="1"/>
        <v>0</v>
      </c>
    </row>
    <row r="9" spans="1:38" ht="12.75" outlineLevel="1">
      <c r="A9" s="14" t="s">
        <v>85</v>
      </c>
      <c r="V9" s="56">
        <f t="shared" si="0"/>
        <v>0</v>
      </c>
      <c r="AL9" s="56">
        <f t="shared" si="1"/>
        <v>0</v>
      </c>
    </row>
    <row r="10" spans="1:38" ht="12.75" outlineLevel="1">
      <c r="A10" s="14" t="s">
        <v>80</v>
      </c>
      <c r="O10" s="14">
        <v>10</v>
      </c>
      <c r="V10" s="56">
        <f t="shared" si="0"/>
        <v>10</v>
      </c>
      <c r="AL10" s="56">
        <f t="shared" si="1"/>
        <v>0</v>
      </c>
    </row>
    <row r="11" spans="1:38" ht="12.75" outlineLevel="1">
      <c r="A11" s="14" t="s">
        <v>81</v>
      </c>
      <c r="D11" s="14">
        <v>3</v>
      </c>
      <c r="E11" s="14">
        <v>3</v>
      </c>
      <c r="V11" s="56">
        <f t="shared" si="0"/>
        <v>6</v>
      </c>
      <c r="AL11" s="56">
        <f t="shared" si="1"/>
        <v>0</v>
      </c>
    </row>
    <row r="12" spans="1:38" s="62" customFormat="1" ht="12.75" outlineLevel="1">
      <c r="A12" s="62" t="s">
        <v>82</v>
      </c>
      <c r="B12" s="61"/>
      <c r="C12" s="61"/>
      <c r="D12" s="61"/>
      <c r="E12" s="61">
        <v>8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56">
        <f>SUM(B12:U12)</f>
        <v>8</v>
      </c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56">
        <f>SUM(W12:AF12)</f>
        <v>0</v>
      </c>
    </row>
    <row r="13" spans="1:38" ht="12.75" outlineLevel="1">
      <c r="A13" s="14" t="s">
        <v>83</v>
      </c>
      <c r="D13" s="14">
        <v>5</v>
      </c>
      <c r="E13" s="14">
        <v>5</v>
      </c>
      <c r="F13" s="14">
        <v>10</v>
      </c>
      <c r="G13" s="14">
        <v>20</v>
      </c>
      <c r="H13" s="57">
        <v>10</v>
      </c>
      <c r="V13" s="56">
        <f t="shared" si="0"/>
        <v>50</v>
      </c>
      <c r="AL13" s="56">
        <f t="shared" si="1"/>
        <v>0</v>
      </c>
    </row>
    <row r="14" spans="1:40" s="60" customFormat="1" ht="12.75" customHeight="1">
      <c r="A14" s="58" t="s">
        <v>84</v>
      </c>
      <c r="B14" s="56">
        <f aca="true" t="shared" si="2" ref="B14:V14">SUM(B4:B13)</f>
        <v>0</v>
      </c>
      <c r="C14" s="56">
        <f t="shared" si="2"/>
        <v>0</v>
      </c>
      <c r="D14" s="56">
        <f t="shared" si="2"/>
        <v>18</v>
      </c>
      <c r="E14" s="56">
        <f t="shared" si="2"/>
        <v>26</v>
      </c>
      <c r="F14" s="56">
        <f t="shared" si="2"/>
        <v>20</v>
      </c>
      <c r="G14" s="56">
        <f t="shared" si="2"/>
        <v>30</v>
      </c>
      <c r="H14" s="56">
        <f>SUM(H5:H13)</f>
        <v>10</v>
      </c>
      <c r="I14" s="56">
        <f t="shared" si="2"/>
        <v>10</v>
      </c>
      <c r="J14" s="56">
        <f t="shared" si="2"/>
        <v>10</v>
      </c>
      <c r="K14" s="56">
        <f t="shared" si="2"/>
        <v>10</v>
      </c>
      <c r="L14" s="56">
        <f t="shared" si="2"/>
        <v>30</v>
      </c>
      <c r="M14" s="56">
        <f t="shared" si="2"/>
        <v>10</v>
      </c>
      <c r="N14" s="56">
        <f t="shared" si="2"/>
        <v>0</v>
      </c>
      <c r="O14" s="56">
        <f t="shared" si="2"/>
        <v>10</v>
      </c>
      <c r="P14" s="56">
        <f t="shared" si="2"/>
        <v>20</v>
      </c>
      <c r="Q14" s="56">
        <f t="shared" si="2"/>
        <v>80</v>
      </c>
      <c r="R14" s="56">
        <f t="shared" si="2"/>
        <v>50</v>
      </c>
      <c r="S14" s="56">
        <f t="shared" si="2"/>
        <v>0</v>
      </c>
      <c r="T14" s="56">
        <f t="shared" si="2"/>
        <v>0</v>
      </c>
      <c r="U14" s="56">
        <f t="shared" si="2"/>
        <v>160</v>
      </c>
      <c r="V14" s="56">
        <f t="shared" si="2"/>
        <v>494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>
        <f t="shared" si="1"/>
        <v>0</v>
      </c>
      <c r="AM14" s="59"/>
      <c r="AN14" s="59"/>
    </row>
    <row r="15" spans="1:40" s="53" customFormat="1" ht="12.75" outlineLevel="1">
      <c r="A15" s="14" t="s">
        <v>86</v>
      </c>
      <c r="V15" s="56">
        <f t="shared" si="0"/>
        <v>0</v>
      </c>
      <c r="W15" s="61">
        <f>+$AM$15/3</f>
        <v>400.00687999999997</v>
      </c>
      <c r="X15" s="61">
        <f>+$AM$15/3</f>
        <v>400.00687999999997</v>
      </c>
      <c r="Y15" s="61">
        <f>+$AM$15/3</f>
        <v>400.00687999999997</v>
      </c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56">
        <f>SUM(W15:AF15)</f>
        <v>1200.02064</v>
      </c>
      <c r="AM15" s="61">
        <v>1200.02064</v>
      </c>
      <c r="AN15" s="61"/>
    </row>
    <row r="16" spans="1:40" s="53" customFormat="1" ht="12.75" outlineLevel="1">
      <c r="A16" s="14" t="s">
        <v>87</v>
      </c>
      <c r="V16" s="56"/>
      <c r="W16" s="61"/>
      <c r="X16" s="61"/>
      <c r="Y16" s="61">
        <f>+$AM$16/3</f>
        <v>1150.9333333333334</v>
      </c>
      <c r="Z16" s="61">
        <f>+$AM$16/3</f>
        <v>1150.9333333333334</v>
      </c>
      <c r="AA16" s="61">
        <f>+$AM$16/3</f>
        <v>1150.9333333333334</v>
      </c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56">
        <f t="shared" si="1"/>
        <v>3452.8</v>
      </c>
      <c r="AM16" s="61">
        <v>3452.8</v>
      </c>
      <c r="AN16" s="61"/>
    </row>
    <row r="17" spans="1:40" s="53" customFormat="1" ht="12.75" outlineLevel="1">
      <c r="A17" s="16" t="s">
        <v>92</v>
      </c>
      <c r="V17" s="56"/>
      <c r="W17" s="61"/>
      <c r="X17" s="61"/>
      <c r="Y17" s="61">
        <f>+AM17*0.1</f>
        <v>804.5024</v>
      </c>
      <c r="Z17" s="61"/>
      <c r="AA17" s="61"/>
      <c r="AB17" s="61"/>
      <c r="AC17" s="61"/>
      <c r="AD17" s="61">
        <f>+$AM$17/2-Y17</f>
        <v>3218.0096</v>
      </c>
      <c r="AE17" s="61">
        <f>+$AM$17/2</f>
        <v>4022.5119999999997</v>
      </c>
      <c r="AF17" s="61"/>
      <c r="AG17" s="61"/>
      <c r="AH17" s="61"/>
      <c r="AI17" s="61"/>
      <c r="AJ17" s="61"/>
      <c r="AK17" s="61"/>
      <c r="AL17" s="56">
        <f t="shared" si="1"/>
        <v>8045.023999999999</v>
      </c>
      <c r="AM17" s="61">
        <v>8045.023999999999</v>
      </c>
      <c r="AN17" s="61"/>
    </row>
    <row r="18" spans="1:40" s="53" customFormat="1" ht="12.75" outlineLevel="1">
      <c r="A18" s="14" t="s">
        <v>88</v>
      </c>
      <c r="V18" s="56"/>
      <c r="W18" s="61"/>
      <c r="X18" s="61"/>
      <c r="Y18" s="61"/>
      <c r="Z18" s="61"/>
      <c r="AA18" s="61"/>
      <c r="AB18" s="61"/>
      <c r="AC18" s="61"/>
      <c r="AD18" s="61">
        <f>+$AM$18/2</f>
        <v>1907.672</v>
      </c>
      <c r="AE18" s="61">
        <f>+$AM$18/2</f>
        <v>1907.672</v>
      </c>
      <c r="AF18" s="61"/>
      <c r="AG18" s="61"/>
      <c r="AH18" s="61"/>
      <c r="AI18" s="61"/>
      <c r="AJ18" s="61"/>
      <c r="AK18" s="61"/>
      <c r="AL18" s="56">
        <f t="shared" si="1"/>
        <v>3815.344</v>
      </c>
      <c r="AM18" s="61">
        <v>3815.344</v>
      </c>
      <c r="AN18" s="61"/>
    </row>
    <row r="19" spans="1:40" s="53" customFormat="1" ht="12.75" outlineLevel="1">
      <c r="A19" s="14" t="s">
        <v>89</v>
      </c>
      <c r="V19" s="56"/>
      <c r="W19" s="61"/>
      <c r="X19" s="61"/>
      <c r="Y19" s="61"/>
      <c r="Z19" s="61"/>
      <c r="AA19" s="61"/>
      <c r="AB19" s="61"/>
      <c r="AC19" s="61"/>
      <c r="AD19" s="61">
        <f>+$AM$19/2</f>
        <v>1151.5088</v>
      </c>
      <c r="AE19" s="61">
        <f>+$AM$19/2</f>
        <v>1151.5088</v>
      </c>
      <c r="AF19" s="61"/>
      <c r="AG19" s="61"/>
      <c r="AH19" s="61"/>
      <c r="AI19" s="61"/>
      <c r="AJ19" s="61"/>
      <c r="AK19" s="61"/>
      <c r="AL19" s="56">
        <f t="shared" si="1"/>
        <v>2303.0176</v>
      </c>
      <c r="AM19" s="61">
        <v>2303.0176</v>
      </c>
      <c r="AN19" s="61"/>
    </row>
    <row r="20" spans="1:40" s="53" customFormat="1" ht="12.75" outlineLevel="1">
      <c r="A20" s="14" t="s">
        <v>90</v>
      </c>
      <c r="Q20" s="61">
        <f>+AM20*0.1</f>
        <v>7119.673600000001</v>
      </c>
      <c r="V20" s="56"/>
      <c r="X20" s="61"/>
      <c r="Y20" s="61"/>
      <c r="Z20" s="61"/>
      <c r="AA20" s="61"/>
      <c r="AB20" s="61"/>
      <c r="AC20" s="61"/>
      <c r="AD20" s="61">
        <f>AM20-Q20</f>
        <v>64077.0624</v>
      </c>
      <c r="AE20" s="61"/>
      <c r="AF20" s="61"/>
      <c r="AG20" s="61"/>
      <c r="AH20" s="61"/>
      <c r="AI20" s="61"/>
      <c r="AJ20" s="61"/>
      <c r="AK20" s="61"/>
      <c r="AL20" s="56">
        <f>SUM(Q20:AF20)</f>
        <v>71196.736</v>
      </c>
      <c r="AM20" s="61">
        <v>71196.736</v>
      </c>
      <c r="AN20" s="61"/>
    </row>
    <row r="21" spans="1:40" s="53" customFormat="1" ht="12.75" outlineLevel="1">
      <c r="A21" s="14" t="s">
        <v>91</v>
      </c>
      <c r="V21" s="56"/>
      <c r="W21" s="61"/>
      <c r="X21" s="61"/>
      <c r="Y21" s="61"/>
      <c r="Z21" s="61"/>
      <c r="AA21" s="61"/>
      <c r="AB21" s="61"/>
      <c r="AC21" s="61"/>
      <c r="AD21" s="61">
        <f>+AM21</f>
        <v>2106.208</v>
      </c>
      <c r="AE21" s="61"/>
      <c r="AF21" s="61"/>
      <c r="AG21" s="61"/>
      <c r="AH21" s="61"/>
      <c r="AI21" s="61"/>
      <c r="AJ21" s="61"/>
      <c r="AK21" s="61"/>
      <c r="AL21" s="56">
        <f t="shared" si="1"/>
        <v>2106.208</v>
      </c>
      <c r="AM21" s="61">
        <v>2106.208</v>
      </c>
      <c r="AN21" s="61"/>
    </row>
    <row r="22" spans="1:40" s="53" customFormat="1" ht="12.75" outlineLevel="1">
      <c r="A22" s="14" t="s">
        <v>93</v>
      </c>
      <c r="C22" s="14">
        <v>400</v>
      </c>
      <c r="V22" s="56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56">
        <f t="shared" si="1"/>
        <v>0</v>
      </c>
      <c r="AM22" s="61">
        <v>10120</v>
      </c>
      <c r="AN22" s="61"/>
    </row>
    <row r="23" spans="1:40" s="53" customFormat="1" ht="12.75" outlineLevel="1">
      <c r="A23" s="14"/>
      <c r="V23" s="56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56">
        <f t="shared" si="1"/>
        <v>0</v>
      </c>
      <c r="AM23" s="54"/>
      <c r="AN23" s="54"/>
    </row>
    <row r="24" spans="1:40" s="60" customFormat="1" ht="12.75" customHeight="1">
      <c r="A24" s="58" t="s">
        <v>94</v>
      </c>
      <c r="B24" s="56">
        <f aca="true" t="shared" si="3" ref="B24:U24">SUM(B15:B23)</f>
        <v>0</v>
      </c>
      <c r="C24" s="56">
        <f t="shared" si="3"/>
        <v>400</v>
      </c>
      <c r="D24" s="56">
        <f t="shared" si="3"/>
        <v>0</v>
      </c>
      <c r="E24" s="56">
        <f t="shared" si="3"/>
        <v>0</v>
      </c>
      <c r="F24" s="56">
        <f t="shared" si="3"/>
        <v>0</v>
      </c>
      <c r="G24" s="56">
        <f t="shared" si="3"/>
        <v>0</v>
      </c>
      <c r="H24" s="56">
        <f t="shared" si="3"/>
        <v>0</v>
      </c>
      <c r="I24" s="56">
        <f t="shared" si="3"/>
        <v>0</v>
      </c>
      <c r="J24" s="56">
        <f t="shared" si="3"/>
        <v>0</v>
      </c>
      <c r="K24" s="56">
        <f t="shared" si="3"/>
        <v>0</v>
      </c>
      <c r="L24" s="56">
        <f t="shared" si="3"/>
        <v>0</v>
      </c>
      <c r="M24" s="56">
        <f t="shared" si="3"/>
        <v>0</v>
      </c>
      <c r="N24" s="56">
        <f t="shared" si="3"/>
        <v>0</v>
      </c>
      <c r="O24" s="56">
        <f t="shared" si="3"/>
        <v>0</v>
      </c>
      <c r="P24" s="56">
        <f t="shared" si="3"/>
        <v>0</v>
      </c>
      <c r="Q24" s="56">
        <f t="shared" si="3"/>
        <v>7119.673600000001</v>
      </c>
      <c r="R24" s="56">
        <f t="shared" si="3"/>
        <v>0</v>
      </c>
      <c r="S24" s="56">
        <f t="shared" si="3"/>
        <v>0</v>
      </c>
      <c r="T24" s="56">
        <f t="shared" si="3"/>
        <v>0</v>
      </c>
      <c r="U24" s="56">
        <f t="shared" si="3"/>
        <v>0</v>
      </c>
      <c r="V24" s="56">
        <f>SUM(B24:U24)</f>
        <v>7519.673600000001</v>
      </c>
      <c r="W24" s="56">
        <f aca="true" t="shared" si="4" ref="W24:AE24">SUM(W15:W23)</f>
        <v>400.00687999999997</v>
      </c>
      <c r="X24" s="56">
        <f t="shared" si="4"/>
        <v>400.00687999999997</v>
      </c>
      <c r="Y24" s="56">
        <f t="shared" si="4"/>
        <v>2355.442613333333</v>
      </c>
      <c r="Z24" s="56">
        <f t="shared" si="4"/>
        <v>1150.9333333333334</v>
      </c>
      <c r="AA24" s="56">
        <f t="shared" si="4"/>
        <v>1150.9333333333334</v>
      </c>
      <c r="AB24" s="56">
        <f t="shared" si="4"/>
        <v>0</v>
      </c>
      <c r="AC24" s="56">
        <f t="shared" si="4"/>
        <v>0</v>
      </c>
      <c r="AD24" s="56">
        <f t="shared" si="4"/>
        <v>72460.4608</v>
      </c>
      <c r="AE24" s="56">
        <f t="shared" si="4"/>
        <v>7081.692799999999</v>
      </c>
      <c r="AF24" s="56">
        <f aca="true" t="shared" si="5" ref="AF24:AK24">SUM(AF15:AF23)</f>
        <v>0</v>
      </c>
      <c r="AG24" s="56">
        <f t="shared" si="5"/>
        <v>0</v>
      </c>
      <c r="AH24" s="56">
        <f t="shared" si="5"/>
        <v>0</v>
      </c>
      <c r="AI24" s="56">
        <f t="shared" si="5"/>
        <v>0</v>
      </c>
      <c r="AJ24" s="56">
        <f t="shared" si="5"/>
        <v>0</v>
      </c>
      <c r="AK24" s="56">
        <f t="shared" si="5"/>
        <v>0</v>
      </c>
      <c r="AL24" s="56">
        <f t="shared" si="1"/>
        <v>84999.47664000001</v>
      </c>
      <c r="AM24" s="56">
        <f>+V24+AL24</f>
        <v>92519.15024</v>
      </c>
      <c r="AN24" s="59"/>
    </row>
    <row r="25" spans="1:40" s="60" customFormat="1" ht="12.75" customHeight="1">
      <c r="A25" s="58" t="s">
        <v>95</v>
      </c>
      <c r="B25" s="56">
        <f aca="true" t="shared" si="6" ref="B25:AL25">SUM(B14,B24)</f>
        <v>0</v>
      </c>
      <c r="C25" s="56">
        <f t="shared" si="6"/>
        <v>400</v>
      </c>
      <c r="D25" s="56">
        <f t="shared" si="6"/>
        <v>18</v>
      </c>
      <c r="E25" s="56">
        <f>SUM(E14,E24)</f>
        <v>26</v>
      </c>
      <c r="F25" s="56">
        <f t="shared" si="6"/>
        <v>20</v>
      </c>
      <c r="G25" s="56">
        <f t="shared" si="6"/>
        <v>30</v>
      </c>
      <c r="H25" s="56">
        <f t="shared" si="6"/>
        <v>10</v>
      </c>
      <c r="I25" s="56">
        <f t="shared" si="6"/>
        <v>10</v>
      </c>
      <c r="J25" s="56">
        <f t="shared" si="6"/>
        <v>10</v>
      </c>
      <c r="K25" s="56">
        <f t="shared" si="6"/>
        <v>10</v>
      </c>
      <c r="L25" s="56">
        <f t="shared" si="6"/>
        <v>30</v>
      </c>
      <c r="M25" s="56">
        <f t="shared" si="6"/>
        <v>10</v>
      </c>
      <c r="N25" s="56">
        <f t="shared" si="6"/>
        <v>0</v>
      </c>
      <c r="O25" s="56">
        <f t="shared" si="6"/>
        <v>10</v>
      </c>
      <c r="P25" s="56">
        <f t="shared" si="6"/>
        <v>20</v>
      </c>
      <c r="Q25" s="56">
        <f t="shared" si="6"/>
        <v>7199.673600000001</v>
      </c>
      <c r="R25" s="56">
        <f t="shared" si="6"/>
        <v>50</v>
      </c>
      <c r="S25" s="56">
        <f t="shared" si="6"/>
        <v>0</v>
      </c>
      <c r="T25" s="56">
        <f t="shared" si="6"/>
        <v>0</v>
      </c>
      <c r="U25" s="56">
        <f t="shared" si="6"/>
        <v>160</v>
      </c>
      <c r="V25" s="56">
        <f t="shared" si="6"/>
        <v>8013.673600000001</v>
      </c>
      <c r="W25" s="56">
        <f t="shared" si="6"/>
        <v>400.00687999999997</v>
      </c>
      <c r="X25" s="56">
        <f t="shared" si="6"/>
        <v>400.00687999999997</v>
      </c>
      <c r="Y25" s="56">
        <f t="shared" si="6"/>
        <v>2355.442613333333</v>
      </c>
      <c r="Z25" s="56">
        <f t="shared" si="6"/>
        <v>1150.9333333333334</v>
      </c>
      <c r="AA25" s="56">
        <f t="shared" si="6"/>
        <v>1150.9333333333334</v>
      </c>
      <c r="AB25" s="56">
        <f t="shared" si="6"/>
        <v>0</v>
      </c>
      <c r="AC25" s="56">
        <f t="shared" si="6"/>
        <v>0</v>
      </c>
      <c r="AD25" s="56">
        <f t="shared" si="6"/>
        <v>72460.4608</v>
      </c>
      <c r="AE25" s="56">
        <f t="shared" si="6"/>
        <v>7081.692799999999</v>
      </c>
      <c r="AF25" s="56">
        <f t="shared" si="6"/>
        <v>0</v>
      </c>
      <c r="AG25" s="56">
        <f t="shared" si="6"/>
        <v>0</v>
      </c>
      <c r="AH25" s="56">
        <f t="shared" si="6"/>
        <v>0</v>
      </c>
      <c r="AI25" s="56">
        <f t="shared" si="6"/>
        <v>0</v>
      </c>
      <c r="AJ25" s="56">
        <f t="shared" si="6"/>
        <v>0</v>
      </c>
      <c r="AK25" s="56">
        <f t="shared" si="6"/>
        <v>0</v>
      </c>
      <c r="AL25" s="56">
        <f t="shared" si="6"/>
        <v>84999.47664000001</v>
      </c>
      <c r="AM25" s="59"/>
      <c r="AN25" s="59"/>
    </row>
    <row r="26" spans="1:38" ht="12.75" outlineLevel="1">
      <c r="A26" s="14" t="s">
        <v>96</v>
      </c>
      <c r="B26" s="61">
        <v>1</v>
      </c>
      <c r="C26" s="61"/>
      <c r="V26" s="56">
        <f t="shared" si="0"/>
        <v>1</v>
      </c>
      <c r="AL26" s="56">
        <f t="shared" si="1"/>
        <v>0</v>
      </c>
    </row>
    <row r="27" spans="1:38" s="62" customFormat="1" ht="12.75" outlineLevel="1">
      <c r="A27" s="62" t="s">
        <v>97</v>
      </c>
      <c r="B27" s="61"/>
      <c r="C27" s="61"/>
      <c r="D27" s="61">
        <v>2</v>
      </c>
      <c r="E27" s="61">
        <v>2</v>
      </c>
      <c r="F27" s="61">
        <v>2</v>
      </c>
      <c r="G27" s="61">
        <v>2</v>
      </c>
      <c r="H27" s="61">
        <v>2</v>
      </c>
      <c r="I27" s="61">
        <v>2</v>
      </c>
      <c r="J27" s="61">
        <v>2</v>
      </c>
      <c r="K27" s="61">
        <v>2</v>
      </c>
      <c r="L27" s="61">
        <v>2</v>
      </c>
      <c r="M27" s="61">
        <v>2</v>
      </c>
      <c r="N27" s="61">
        <v>2</v>
      </c>
      <c r="O27" s="61">
        <v>2</v>
      </c>
      <c r="P27" s="61">
        <v>2</v>
      </c>
      <c r="Q27" s="61">
        <v>2</v>
      </c>
      <c r="R27" s="61">
        <v>2</v>
      </c>
      <c r="S27" s="61">
        <v>2</v>
      </c>
      <c r="T27" s="61">
        <v>2</v>
      </c>
      <c r="U27" s="61">
        <v>2</v>
      </c>
      <c r="V27" s="56">
        <f t="shared" si="0"/>
        <v>36</v>
      </c>
      <c r="W27" s="61">
        <v>2</v>
      </c>
      <c r="X27" s="61">
        <v>2</v>
      </c>
      <c r="Y27" s="61">
        <v>2</v>
      </c>
      <c r="Z27" s="61">
        <v>2</v>
      </c>
      <c r="AA27" s="61">
        <v>2</v>
      </c>
      <c r="AB27" s="61">
        <v>2</v>
      </c>
      <c r="AC27" s="61">
        <v>2</v>
      </c>
      <c r="AD27" s="61">
        <v>2</v>
      </c>
      <c r="AE27" s="61">
        <v>2</v>
      </c>
      <c r="AF27" s="61">
        <v>2</v>
      </c>
      <c r="AG27" s="61">
        <v>2</v>
      </c>
      <c r="AH27" s="61">
        <v>2</v>
      </c>
      <c r="AI27" s="61">
        <v>2</v>
      </c>
      <c r="AJ27" s="61">
        <v>2</v>
      </c>
      <c r="AK27" s="61">
        <v>2</v>
      </c>
      <c r="AL27" s="56">
        <f t="shared" si="1"/>
        <v>20</v>
      </c>
    </row>
    <row r="28" spans="1:38" s="62" customFormat="1" ht="12.75" outlineLevel="1">
      <c r="A28" s="62" t="s">
        <v>110</v>
      </c>
      <c r="B28" s="61"/>
      <c r="C28" s="61"/>
      <c r="D28" s="61">
        <v>2</v>
      </c>
      <c r="E28" s="61">
        <v>2</v>
      </c>
      <c r="F28" s="61">
        <v>2</v>
      </c>
      <c r="G28" s="61">
        <v>2</v>
      </c>
      <c r="H28" s="61">
        <v>2</v>
      </c>
      <c r="I28" s="61">
        <v>2</v>
      </c>
      <c r="J28" s="61">
        <v>2</v>
      </c>
      <c r="K28" s="61">
        <v>2</v>
      </c>
      <c r="L28" s="61">
        <v>2</v>
      </c>
      <c r="M28" s="61">
        <v>2</v>
      </c>
      <c r="N28" s="61">
        <v>2</v>
      </c>
      <c r="O28" s="61">
        <v>2</v>
      </c>
      <c r="P28" s="61">
        <v>2</v>
      </c>
      <c r="Q28" s="61">
        <v>2</v>
      </c>
      <c r="R28" s="61">
        <v>2</v>
      </c>
      <c r="S28" s="61">
        <v>2</v>
      </c>
      <c r="T28" s="61">
        <v>2</v>
      </c>
      <c r="U28" s="61">
        <v>2</v>
      </c>
      <c r="V28" s="56">
        <f t="shared" si="0"/>
        <v>36</v>
      </c>
      <c r="W28" s="61">
        <v>2</v>
      </c>
      <c r="X28" s="61">
        <v>2</v>
      </c>
      <c r="Y28" s="61">
        <v>2</v>
      </c>
      <c r="Z28" s="61">
        <v>2</v>
      </c>
      <c r="AA28" s="61">
        <v>2</v>
      </c>
      <c r="AB28" s="61">
        <v>2</v>
      </c>
      <c r="AC28" s="61">
        <v>2</v>
      </c>
      <c r="AD28" s="61">
        <v>2</v>
      </c>
      <c r="AE28" s="61">
        <v>2</v>
      </c>
      <c r="AF28" s="61">
        <v>2</v>
      </c>
      <c r="AG28" s="61">
        <v>2</v>
      </c>
      <c r="AH28" s="61">
        <v>2</v>
      </c>
      <c r="AI28" s="61">
        <v>2</v>
      </c>
      <c r="AJ28" s="61">
        <v>2</v>
      </c>
      <c r="AK28" s="61">
        <v>2</v>
      </c>
      <c r="AL28" s="56">
        <f t="shared" si="1"/>
        <v>20</v>
      </c>
    </row>
    <row r="29" spans="1:38" s="62" customFormat="1" ht="12.75" outlineLevel="1">
      <c r="A29" s="62" t="s">
        <v>151</v>
      </c>
      <c r="B29" s="61"/>
      <c r="C29" s="61"/>
      <c r="D29" s="61">
        <v>2</v>
      </c>
      <c r="E29" s="61">
        <v>2</v>
      </c>
      <c r="F29" s="61">
        <v>2</v>
      </c>
      <c r="G29" s="61">
        <v>2</v>
      </c>
      <c r="H29" s="61">
        <v>2</v>
      </c>
      <c r="I29" s="61">
        <v>2</v>
      </c>
      <c r="J29" s="61">
        <v>2</v>
      </c>
      <c r="K29" s="61">
        <v>2</v>
      </c>
      <c r="L29" s="61">
        <v>2</v>
      </c>
      <c r="M29" s="61">
        <v>2</v>
      </c>
      <c r="N29" s="61">
        <v>2</v>
      </c>
      <c r="O29" s="61">
        <v>2</v>
      </c>
      <c r="P29" s="61">
        <v>2</v>
      </c>
      <c r="Q29" s="61">
        <v>2</v>
      </c>
      <c r="R29" s="61">
        <v>2</v>
      </c>
      <c r="S29" s="61">
        <v>2</v>
      </c>
      <c r="T29" s="61">
        <v>2</v>
      </c>
      <c r="U29" s="61">
        <v>2</v>
      </c>
      <c r="V29" s="56">
        <f t="shared" si="0"/>
        <v>36</v>
      </c>
      <c r="W29" s="61">
        <v>2</v>
      </c>
      <c r="X29" s="61">
        <v>2</v>
      </c>
      <c r="Y29" s="61">
        <v>2</v>
      </c>
      <c r="Z29" s="61">
        <v>2</v>
      </c>
      <c r="AA29" s="61">
        <v>2</v>
      </c>
      <c r="AB29" s="61">
        <v>2</v>
      </c>
      <c r="AC29" s="61">
        <v>2</v>
      </c>
      <c r="AD29" s="61">
        <v>2</v>
      </c>
      <c r="AE29" s="61">
        <v>2</v>
      </c>
      <c r="AF29" s="61">
        <v>2</v>
      </c>
      <c r="AG29" s="61">
        <v>2</v>
      </c>
      <c r="AH29" s="61">
        <v>2</v>
      </c>
      <c r="AI29" s="61">
        <v>2</v>
      </c>
      <c r="AJ29" s="61">
        <v>2</v>
      </c>
      <c r="AK29" s="61">
        <v>2</v>
      </c>
      <c r="AL29" s="56">
        <f t="shared" si="1"/>
        <v>20</v>
      </c>
    </row>
    <row r="30" spans="1:38" s="62" customFormat="1" ht="12.75" outlineLevel="1">
      <c r="A30" s="62" t="s">
        <v>98</v>
      </c>
      <c r="B30" s="61"/>
      <c r="C30" s="61"/>
      <c r="D30" s="61">
        <v>1</v>
      </c>
      <c r="E30" s="61">
        <v>1</v>
      </c>
      <c r="F30" s="61">
        <v>1</v>
      </c>
      <c r="G30" s="61">
        <v>1</v>
      </c>
      <c r="H30" s="61">
        <v>1</v>
      </c>
      <c r="I30" s="61">
        <v>1</v>
      </c>
      <c r="J30" s="61">
        <v>1</v>
      </c>
      <c r="K30" s="61">
        <v>1</v>
      </c>
      <c r="L30" s="61">
        <v>1</v>
      </c>
      <c r="M30" s="61">
        <v>1</v>
      </c>
      <c r="N30" s="61">
        <v>1</v>
      </c>
      <c r="O30" s="61">
        <v>1</v>
      </c>
      <c r="P30" s="61">
        <v>1</v>
      </c>
      <c r="Q30" s="61">
        <v>1</v>
      </c>
      <c r="R30" s="61">
        <v>1</v>
      </c>
      <c r="S30" s="61">
        <v>1</v>
      </c>
      <c r="T30" s="61">
        <v>1</v>
      </c>
      <c r="U30" s="61">
        <v>1</v>
      </c>
      <c r="V30" s="56">
        <f t="shared" si="0"/>
        <v>18</v>
      </c>
      <c r="W30" s="61">
        <v>1</v>
      </c>
      <c r="X30" s="61">
        <v>1</v>
      </c>
      <c r="Y30" s="61">
        <v>1</v>
      </c>
      <c r="Z30" s="61">
        <v>1</v>
      </c>
      <c r="AA30" s="61">
        <v>1</v>
      </c>
      <c r="AB30" s="61">
        <v>1</v>
      </c>
      <c r="AC30" s="61">
        <v>1</v>
      </c>
      <c r="AD30" s="61">
        <v>1</v>
      </c>
      <c r="AE30" s="61">
        <v>1</v>
      </c>
      <c r="AF30" s="61">
        <v>1</v>
      </c>
      <c r="AG30" s="61">
        <v>1</v>
      </c>
      <c r="AH30" s="61">
        <v>1</v>
      </c>
      <c r="AI30" s="61">
        <v>1</v>
      </c>
      <c r="AJ30" s="61">
        <v>1</v>
      </c>
      <c r="AK30" s="61">
        <v>1</v>
      </c>
      <c r="AL30" s="56">
        <f t="shared" si="1"/>
        <v>10</v>
      </c>
    </row>
    <row r="31" spans="1:38" s="62" customFormat="1" ht="12.75" outlineLevel="1">
      <c r="A31" s="62" t="s">
        <v>99</v>
      </c>
      <c r="B31" s="61"/>
      <c r="C31" s="61"/>
      <c r="D31" s="61">
        <v>0.5</v>
      </c>
      <c r="E31" s="61">
        <v>0.5</v>
      </c>
      <c r="F31" s="61">
        <v>0.5</v>
      </c>
      <c r="G31" s="61">
        <v>0.5</v>
      </c>
      <c r="H31" s="61">
        <v>0.5</v>
      </c>
      <c r="I31" s="61">
        <v>0.5</v>
      </c>
      <c r="J31" s="61">
        <v>0.5</v>
      </c>
      <c r="K31" s="61">
        <v>0.5</v>
      </c>
      <c r="L31" s="61">
        <v>0.5</v>
      </c>
      <c r="M31" s="61">
        <v>0.5</v>
      </c>
      <c r="N31" s="61">
        <v>0.5</v>
      </c>
      <c r="O31" s="61">
        <v>0.5</v>
      </c>
      <c r="P31" s="61">
        <v>0.5</v>
      </c>
      <c r="Q31" s="61">
        <v>0.5</v>
      </c>
      <c r="R31" s="61">
        <v>0.5</v>
      </c>
      <c r="S31" s="61">
        <v>0.5</v>
      </c>
      <c r="T31" s="61">
        <v>0.5</v>
      </c>
      <c r="U31" s="61">
        <v>0.5</v>
      </c>
      <c r="V31" s="56">
        <f t="shared" si="0"/>
        <v>9</v>
      </c>
      <c r="W31" s="61">
        <v>0.5</v>
      </c>
      <c r="X31" s="61">
        <v>0.5</v>
      </c>
      <c r="Y31" s="61">
        <v>0.5</v>
      </c>
      <c r="Z31" s="61">
        <v>0.5</v>
      </c>
      <c r="AA31" s="61">
        <v>0.5</v>
      </c>
      <c r="AB31" s="61">
        <v>0.5</v>
      </c>
      <c r="AC31" s="61">
        <v>0.5</v>
      </c>
      <c r="AD31" s="61">
        <v>0.5</v>
      </c>
      <c r="AE31" s="61">
        <v>0.5</v>
      </c>
      <c r="AF31" s="61">
        <v>0.5</v>
      </c>
      <c r="AG31" s="61">
        <v>0.5</v>
      </c>
      <c r="AH31" s="61">
        <v>0.5</v>
      </c>
      <c r="AI31" s="61">
        <v>0.5</v>
      </c>
      <c r="AJ31" s="61">
        <v>0.5</v>
      </c>
      <c r="AK31" s="61">
        <v>0.5</v>
      </c>
      <c r="AL31" s="56">
        <f t="shared" si="1"/>
        <v>5</v>
      </c>
    </row>
    <row r="32" spans="1:38" s="62" customFormat="1" ht="12.75" outlineLevel="1">
      <c r="A32" s="62" t="s">
        <v>100</v>
      </c>
      <c r="B32" s="61"/>
      <c r="C32" s="61"/>
      <c r="D32" s="61">
        <v>0.2</v>
      </c>
      <c r="E32" s="61">
        <v>0.2</v>
      </c>
      <c r="F32" s="61">
        <v>0.2</v>
      </c>
      <c r="G32" s="61">
        <v>0.2</v>
      </c>
      <c r="H32" s="61">
        <v>0.2</v>
      </c>
      <c r="I32" s="61">
        <v>0.2</v>
      </c>
      <c r="J32" s="61">
        <v>0.2</v>
      </c>
      <c r="K32" s="61">
        <v>0.2</v>
      </c>
      <c r="L32" s="61">
        <v>0.2</v>
      </c>
      <c r="M32" s="61">
        <v>0.2</v>
      </c>
      <c r="N32" s="61">
        <v>0.2</v>
      </c>
      <c r="O32" s="61">
        <v>0.2</v>
      </c>
      <c r="P32" s="61">
        <v>0.2</v>
      </c>
      <c r="Q32" s="61">
        <v>0.2</v>
      </c>
      <c r="R32" s="61">
        <v>0.2</v>
      </c>
      <c r="S32" s="61">
        <v>0.2</v>
      </c>
      <c r="T32" s="61">
        <v>0.2</v>
      </c>
      <c r="U32" s="61">
        <v>0.2</v>
      </c>
      <c r="V32" s="56">
        <f t="shared" si="0"/>
        <v>3.600000000000001</v>
      </c>
      <c r="W32" s="61">
        <v>0.2</v>
      </c>
      <c r="X32" s="61">
        <v>0.2</v>
      </c>
      <c r="Y32" s="61">
        <v>0.2</v>
      </c>
      <c r="Z32" s="61">
        <v>0.2</v>
      </c>
      <c r="AA32" s="61">
        <v>0.2</v>
      </c>
      <c r="AB32" s="61">
        <v>0.2</v>
      </c>
      <c r="AC32" s="61">
        <v>0.2</v>
      </c>
      <c r="AD32" s="61">
        <v>0.2</v>
      </c>
      <c r="AE32" s="61">
        <v>0.2</v>
      </c>
      <c r="AF32" s="61">
        <v>0.2</v>
      </c>
      <c r="AG32" s="61">
        <v>0.2</v>
      </c>
      <c r="AH32" s="61">
        <v>0.2</v>
      </c>
      <c r="AI32" s="61">
        <v>0.2</v>
      </c>
      <c r="AJ32" s="61">
        <v>0.2</v>
      </c>
      <c r="AK32" s="61">
        <v>0.2</v>
      </c>
      <c r="AL32" s="56">
        <f t="shared" si="1"/>
        <v>1.9999999999999998</v>
      </c>
    </row>
    <row r="33" spans="1:38" s="62" customFormat="1" ht="12.75" outlineLevel="1">
      <c r="A33" s="63" t="s">
        <v>101</v>
      </c>
      <c r="B33" s="61">
        <v>0.2</v>
      </c>
      <c r="C33" s="61">
        <v>0.2</v>
      </c>
      <c r="D33" s="61">
        <v>0.5</v>
      </c>
      <c r="E33" s="61">
        <v>0.5</v>
      </c>
      <c r="F33" s="61">
        <v>0.5</v>
      </c>
      <c r="G33" s="61">
        <v>0.5</v>
      </c>
      <c r="H33" s="61">
        <v>0.5</v>
      </c>
      <c r="I33" s="61">
        <v>0.5</v>
      </c>
      <c r="J33" s="61">
        <v>0.5</v>
      </c>
      <c r="K33" s="61">
        <v>0.5</v>
      </c>
      <c r="L33" s="61">
        <v>0.5</v>
      </c>
      <c r="M33" s="61">
        <v>0.5</v>
      </c>
      <c r="N33" s="61">
        <v>0.5</v>
      </c>
      <c r="O33" s="61">
        <v>0.5</v>
      </c>
      <c r="P33" s="61">
        <v>0.5</v>
      </c>
      <c r="Q33" s="61">
        <v>0.5</v>
      </c>
      <c r="R33" s="61">
        <v>0.5</v>
      </c>
      <c r="S33" s="61">
        <v>0.5</v>
      </c>
      <c r="T33" s="61">
        <v>0.5</v>
      </c>
      <c r="U33" s="61">
        <v>0.5</v>
      </c>
      <c r="V33" s="56">
        <f t="shared" si="0"/>
        <v>9.4</v>
      </c>
      <c r="W33" s="61">
        <v>1</v>
      </c>
      <c r="X33" s="61">
        <v>1</v>
      </c>
      <c r="Y33" s="61">
        <v>1</v>
      </c>
      <c r="Z33" s="61">
        <v>1</v>
      </c>
      <c r="AA33" s="61">
        <v>1</v>
      </c>
      <c r="AB33" s="61">
        <v>1</v>
      </c>
      <c r="AC33" s="61">
        <v>1</v>
      </c>
      <c r="AD33" s="61">
        <v>1</v>
      </c>
      <c r="AE33" s="61">
        <v>1</v>
      </c>
      <c r="AF33" s="61">
        <v>1</v>
      </c>
      <c r="AG33" s="61">
        <v>1</v>
      </c>
      <c r="AH33" s="61">
        <v>1</v>
      </c>
      <c r="AI33" s="61">
        <v>1</v>
      </c>
      <c r="AJ33" s="61">
        <v>1</v>
      </c>
      <c r="AK33" s="61">
        <v>1</v>
      </c>
      <c r="AL33" s="56">
        <f t="shared" si="1"/>
        <v>10</v>
      </c>
    </row>
    <row r="34" spans="1:38" s="62" customFormat="1" ht="12.75" outlineLevel="1">
      <c r="A34" s="63" t="s">
        <v>102</v>
      </c>
      <c r="B34" s="61">
        <v>0.2</v>
      </c>
      <c r="C34" s="61">
        <v>0.2</v>
      </c>
      <c r="D34" s="64">
        <v>5</v>
      </c>
      <c r="E34" s="64">
        <v>5</v>
      </c>
      <c r="F34" s="64">
        <v>5</v>
      </c>
      <c r="G34" s="64">
        <v>5</v>
      </c>
      <c r="H34" s="64">
        <v>5</v>
      </c>
      <c r="I34" s="64">
        <v>5</v>
      </c>
      <c r="J34" s="64">
        <v>5</v>
      </c>
      <c r="K34" s="64">
        <v>5</v>
      </c>
      <c r="L34" s="64">
        <v>5</v>
      </c>
      <c r="M34" s="64">
        <v>5</v>
      </c>
      <c r="N34" s="64">
        <v>5</v>
      </c>
      <c r="O34" s="64">
        <v>5</v>
      </c>
      <c r="P34" s="64">
        <v>5</v>
      </c>
      <c r="Q34" s="64">
        <v>5</v>
      </c>
      <c r="R34" s="64">
        <v>5</v>
      </c>
      <c r="S34" s="64">
        <v>5</v>
      </c>
      <c r="T34" s="64">
        <v>5</v>
      </c>
      <c r="U34" s="64">
        <v>5</v>
      </c>
      <c r="V34" s="56">
        <f t="shared" si="0"/>
        <v>90.4</v>
      </c>
      <c r="W34" s="64">
        <v>3.6</v>
      </c>
      <c r="X34" s="64">
        <v>3.6</v>
      </c>
      <c r="Y34" s="64">
        <v>3.6</v>
      </c>
      <c r="Z34" s="64">
        <v>3.6</v>
      </c>
      <c r="AA34" s="64">
        <v>3.6</v>
      </c>
      <c r="AB34" s="64">
        <v>3.6</v>
      </c>
      <c r="AC34" s="64">
        <v>3.6</v>
      </c>
      <c r="AD34" s="64">
        <v>3.6</v>
      </c>
      <c r="AE34" s="64">
        <v>3.6</v>
      </c>
      <c r="AF34" s="64">
        <v>3.6</v>
      </c>
      <c r="AG34" s="64">
        <v>3.6</v>
      </c>
      <c r="AH34" s="64">
        <v>3.6</v>
      </c>
      <c r="AI34" s="64">
        <v>3.6</v>
      </c>
      <c r="AJ34" s="64">
        <v>3.6</v>
      </c>
      <c r="AK34" s="64">
        <v>3.6</v>
      </c>
      <c r="AL34" s="56">
        <f t="shared" si="1"/>
        <v>36.00000000000001</v>
      </c>
    </row>
    <row r="35" spans="1:38" s="62" customFormat="1" ht="12.75" outlineLevel="1">
      <c r="A35" s="62" t="s">
        <v>103</v>
      </c>
      <c r="B35" s="61">
        <f>(B33+B34)*27%</f>
        <v>0.10800000000000001</v>
      </c>
      <c r="C35" s="61">
        <f>(C33+C34)*27%</f>
        <v>0.10800000000000001</v>
      </c>
      <c r="D35" s="61">
        <f>(D33+D34)*27%</f>
        <v>1.485</v>
      </c>
      <c r="E35" s="61">
        <f aca="true" t="shared" si="7" ref="E35:U35">(E33+E34)*27%</f>
        <v>1.485</v>
      </c>
      <c r="F35" s="61">
        <f t="shared" si="7"/>
        <v>1.485</v>
      </c>
      <c r="G35" s="61">
        <f t="shared" si="7"/>
        <v>1.485</v>
      </c>
      <c r="H35" s="61">
        <f t="shared" si="7"/>
        <v>1.485</v>
      </c>
      <c r="I35" s="61">
        <f t="shared" si="7"/>
        <v>1.485</v>
      </c>
      <c r="J35" s="61">
        <f t="shared" si="7"/>
        <v>1.485</v>
      </c>
      <c r="K35" s="61">
        <f t="shared" si="7"/>
        <v>1.485</v>
      </c>
      <c r="L35" s="61">
        <f t="shared" si="7"/>
        <v>1.485</v>
      </c>
      <c r="M35" s="61">
        <f t="shared" si="7"/>
        <v>1.485</v>
      </c>
      <c r="N35" s="61">
        <f t="shared" si="7"/>
        <v>1.485</v>
      </c>
      <c r="O35" s="61">
        <f t="shared" si="7"/>
        <v>1.485</v>
      </c>
      <c r="P35" s="61">
        <f t="shared" si="7"/>
        <v>1.485</v>
      </c>
      <c r="Q35" s="61">
        <f t="shared" si="7"/>
        <v>1.485</v>
      </c>
      <c r="R35" s="61">
        <f t="shared" si="7"/>
        <v>1.485</v>
      </c>
      <c r="S35" s="61">
        <f t="shared" si="7"/>
        <v>1.485</v>
      </c>
      <c r="T35" s="61">
        <f t="shared" si="7"/>
        <v>1.485</v>
      </c>
      <c r="U35" s="61">
        <f t="shared" si="7"/>
        <v>1.485</v>
      </c>
      <c r="V35" s="56">
        <f t="shared" si="0"/>
        <v>26.945999999999994</v>
      </c>
      <c r="W35" s="61">
        <f aca="true" t="shared" si="8" ref="W35:AB35">(W33+W34)*27%</f>
        <v>1.242</v>
      </c>
      <c r="X35" s="61">
        <f t="shared" si="8"/>
        <v>1.242</v>
      </c>
      <c r="Y35" s="61">
        <f t="shared" si="8"/>
        <v>1.242</v>
      </c>
      <c r="Z35" s="61">
        <f t="shared" si="8"/>
        <v>1.242</v>
      </c>
      <c r="AA35" s="61">
        <f t="shared" si="8"/>
        <v>1.242</v>
      </c>
      <c r="AB35" s="61">
        <f t="shared" si="8"/>
        <v>1.242</v>
      </c>
      <c r="AC35" s="61">
        <f aca="true" t="shared" si="9" ref="AC35:AK35">(AC33+AC34)*27%</f>
        <v>1.242</v>
      </c>
      <c r="AD35" s="61">
        <f t="shared" si="9"/>
        <v>1.242</v>
      </c>
      <c r="AE35" s="61">
        <f t="shared" si="9"/>
        <v>1.242</v>
      </c>
      <c r="AF35" s="61">
        <f t="shared" si="9"/>
        <v>1.242</v>
      </c>
      <c r="AG35" s="61">
        <f t="shared" si="9"/>
        <v>1.242</v>
      </c>
      <c r="AH35" s="61">
        <f t="shared" si="9"/>
        <v>1.242</v>
      </c>
      <c r="AI35" s="61">
        <f t="shared" si="9"/>
        <v>1.242</v>
      </c>
      <c r="AJ35" s="61">
        <f t="shared" si="9"/>
        <v>1.242</v>
      </c>
      <c r="AK35" s="61">
        <f t="shared" si="9"/>
        <v>1.242</v>
      </c>
      <c r="AL35" s="56">
        <f t="shared" si="1"/>
        <v>12.420000000000002</v>
      </c>
    </row>
    <row r="36" spans="1:38" s="62" customFormat="1" ht="12.75" outlineLevel="1">
      <c r="A36" s="62" t="s">
        <v>104</v>
      </c>
      <c r="B36" s="61"/>
      <c r="C36" s="64">
        <f>400000*6%/12/1000</f>
        <v>2</v>
      </c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56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56"/>
    </row>
    <row r="37" spans="1:38" ht="12.75" outlineLevel="1">
      <c r="A37" s="14" t="s">
        <v>105</v>
      </c>
      <c r="B37" s="64">
        <v>13.6</v>
      </c>
      <c r="D37" s="14">
        <v>0.31</v>
      </c>
      <c r="E37" s="14">
        <v>0.31</v>
      </c>
      <c r="F37" s="14">
        <v>0.31</v>
      </c>
      <c r="G37" s="14">
        <v>0.31</v>
      </c>
      <c r="H37" s="14">
        <v>0.31</v>
      </c>
      <c r="I37" s="14">
        <v>0.31</v>
      </c>
      <c r="J37" s="14">
        <v>0.31</v>
      </c>
      <c r="K37" s="14">
        <v>0.31</v>
      </c>
      <c r="L37" s="14">
        <v>0.31</v>
      </c>
      <c r="M37" s="14">
        <v>0.31</v>
      </c>
      <c r="N37" s="14">
        <v>0.31</v>
      </c>
      <c r="O37" s="14">
        <v>0.31</v>
      </c>
      <c r="P37" s="14">
        <v>0.31</v>
      </c>
      <c r="Q37" s="14">
        <v>0.31</v>
      </c>
      <c r="R37" s="14">
        <v>0.31</v>
      </c>
      <c r="S37" s="14">
        <v>0.31</v>
      </c>
      <c r="T37" s="14">
        <v>0.31</v>
      </c>
      <c r="U37" s="14">
        <v>0.31</v>
      </c>
      <c r="V37" s="56">
        <f>SUM(B37:U37)</f>
        <v>19.17999999999999</v>
      </c>
      <c r="AL37" s="56">
        <f>SUM(W37:AF37)</f>
        <v>0</v>
      </c>
    </row>
    <row r="38" spans="1:38" s="59" customFormat="1" ht="12.75" customHeight="1">
      <c r="A38" s="68" t="s">
        <v>106</v>
      </c>
      <c r="B38" s="34">
        <f aca="true" t="shared" si="10" ref="B38:U38">SUM(B26:B37)</f>
        <v>15.108</v>
      </c>
      <c r="C38" s="34">
        <f t="shared" si="10"/>
        <v>2.508</v>
      </c>
      <c r="D38" s="34">
        <f t="shared" si="10"/>
        <v>14.995</v>
      </c>
      <c r="E38" s="34">
        <f t="shared" si="10"/>
        <v>14.995</v>
      </c>
      <c r="F38" s="34">
        <f t="shared" si="10"/>
        <v>14.995</v>
      </c>
      <c r="G38" s="34">
        <f t="shared" si="10"/>
        <v>14.995</v>
      </c>
      <c r="H38" s="34">
        <f t="shared" si="10"/>
        <v>14.995</v>
      </c>
      <c r="I38" s="34">
        <f t="shared" si="10"/>
        <v>14.995</v>
      </c>
      <c r="J38" s="34">
        <f t="shared" si="10"/>
        <v>14.995</v>
      </c>
      <c r="K38" s="34">
        <f t="shared" si="10"/>
        <v>14.995</v>
      </c>
      <c r="L38" s="34">
        <f t="shared" si="10"/>
        <v>14.995</v>
      </c>
      <c r="M38" s="34">
        <f t="shared" si="10"/>
        <v>14.995</v>
      </c>
      <c r="N38" s="34">
        <f t="shared" si="10"/>
        <v>14.995</v>
      </c>
      <c r="O38" s="34">
        <f t="shared" si="10"/>
        <v>14.995</v>
      </c>
      <c r="P38" s="34">
        <f t="shared" si="10"/>
        <v>14.995</v>
      </c>
      <c r="Q38" s="34">
        <f t="shared" si="10"/>
        <v>14.995</v>
      </c>
      <c r="R38" s="34">
        <f t="shared" si="10"/>
        <v>14.995</v>
      </c>
      <c r="S38" s="34">
        <f t="shared" si="10"/>
        <v>14.995</v>
      </c>
      <c r="T38" s="34">
        <f t="shared" si="10"/>
        <v>14.995</v>
      </c>
      <c r="U38" s="34">
        <f t="shared" si="10"/>
        <v>14.995</v>
      </c>
      <c r="V38" s="34">
        <f>SUM(B38:U38)</f>
        <v>287.526</v>
      </c>
      <c r="W38" s="34">
        <f aca="true" t="shared" si="11" ref="W38:AE38">SUM(W26:W37)</f>
        <v>13.541999999999998</v>
      </c>
      <c r="X38" s="34">
        <f t="shared" si="11"/>
        <v>13.541999999999998</v>
      </c>
      <c r="Y38" s="34">
        <f t="shared" si="11"/>
        <v>13.541999999999998</v>
      </c>
      <c r="Z38" s="34">
        <f t="shared" si="11"/>
        <v>13.541999999999998</v>
      </c>
      <c r="AA38" s="34">
        <f t="shared" si="11"/>
        <v>13.541999999999998</v>
      </c>
      <c r="AB38" s="34">
        <f t="shared" si="11"/>
        <v>13.541999999999998</v>
      </c>
      <c r="AC38" s="34">
        <f t="shared" si="11"/>
        <v>13.541999999999998</v>
      </c>
      <c r="AD38" s="34">
        <f t="shared" si="11"/>
        <v>13.541999999999998</v>
      </c>
      <c r="AE38" s="34">
        <f t="shared" si="11"/>
        <v>13.541999999999998</v>
      </c>
      <c r="AF38" s="34">
        <f aca="true" t="shared" si="12" ref="AF38:AK38">SUM(AF26:AF37)</f>
        <v>13.541999999999998</v>
      </c>
      <c r="AG38" s="34">
        <f t="shared" si="12"/>
        <v>13.541999999999998</v>
      </c>
      <c r="AH38" s="34">
        <f t="shared" si="12"/>
        <v>13.541999999999998</v>
      </c>
      <c r="AI38" s="34">
        <f t="shared" si="12"/>
        <v>13.541999999999998</v>
      </c>
      <c r="AJ38" s="34">
        <f t="shared" si="12"/>
        <v>13.541999999999998</v>
      </c>
      <c r="AK38" s="34">
        <f t="shared" si="12"/>
        <v>13.541999999999998</v>
      </c>
      <c r="AL38" s="34">
        <f>SUM(W38:AF38)</f>
        <v>135.42</v>
      </c>
    </row>
    <row r="39" spans="1:40" s="60" customFormat="1" ht="12.75" customHeight="1">
      <c r="A39" s="58" t="s">
        <v>107</v>
      </c>
      <c r="B39" s="56">
        <f aca="true" t="shared" si="13" ref="B39:U39">B38+B25</f>
        <v>15.108</v>
      </c>
      <c r="C39" s="56">
        <f t="shared" si="13"/>
        <v>402.508</v>
      </c>
      <c r="D39" s="56">
        <f t="shared" si="13"/>
        <v>32.995</v>
      </c>
      <c r="E39" s="56">
        <f>E38+E25</f>
        <v>40.995</v>
      </c>
      <c r="F39" s="56">
        <f t="shared" si="13"/>
        <v>34.995</v>
      </c>
      <c r="G39" s="56">
        <f t="shared" si="13"/>
        <v>44.995</v>
      </c>
      <c r="H39" s="56">
        <f t="shared" si="13"/>
        <v>24.994999999999997</v>
      </c>
      <c r="I39" s="56">
        <f t="shared" si="13"/>
        <v>24.994999999999997</v>
      </c>
      <c r="J39" s="56">
        <f t="shared" si="13"/>
        <v>24.994999999999997</v>
      </c>
      <c r="K39" s="56">
        <f t="shared" si="13"/>
        <v>24.994999999999997</v>
      </c>
      <c r="L39" s="56">
        <f t="shared" si="13"/>
        <v>44.995</v>
      </c>
      <c r="M39" s="56">
        <f t="shared" si="13"/>
        <v>24.994999999999997</v>
      </c>
      <c r="N39" s="56">
        <f t="shared" si="13"/>
        <v>14.995</v>
      </c>
      <c r="O39" s="56">
        <f t="shared" si="13"/>
        <v>24.994999999999997</v>
      </c>
      <c r="P39" s="56">
        <f t="shared" si="13"/>
        <v>34.995</v>
      </c>
      <c r="Q39" s="56">
        <f t="shared" si="13"/>
        <v>7214.668600000001</v>
      </c>
      <c r="R39" s="56">
        <f t="shared" si="13"/>
        <v>64.995</v>
      </c>
      <c r="S39" s="56">
        <f t="shared" si="13"/>
        <v>14.995</v>
      </c>
      <c r="T39" s="56">
        <f t="shared" si="13"/>
        <v>14.995</v>
      </c>
      <c r="U39" s="56">
        <f t="shared" si="13"/>
        <v>174.995</v>
      </c>
      <c r="V39" s="56">
        <f>SUM(B39:U39)</f>
        <v>8301.199600000002</v>
      </c>
      <c r="W39" s="56">
        <f aca="true" t="shared" si="14" ref="W39:AK39">W38+W25</f>
        <v>413.54887999999994</v>
      </c>
      <c r="X39" s="56">
        <f t="shared" si="14"/>
        <v>413.54887999999994</v>
      </c>
      <c r="Y39" s="56">
        <f t="shared" si="14"/>
        <v>2368.984613333333</v>
      </c>
      <c r="Z39" s="56">
        <f t="shared" si="14"/>
        <v>1164.4753333333333</v>
      </c>
      <c r="AA39" s="56">
        <f t="shared" si="14"/>
        <v>1164.4753333333333</v>
      </c>
      <c r="AB39" s="56">
        <f t="shared" si="14"/>
        <v>13.541999999999998</v>
      </c>
      <c r="AC39" s="56">
        <f t="shared" si="14"/>
        <v>13.541999999999998</v>
      </c>
      <c r="AD39" s="56">
        <f t="shared" si="14"/>
        <v>72474.0028</v>
      </c>
      <c r="AE39" s="56">
        <f t="shared" si="14"/>
        <v>7095.234799999999</v>
      </c>
      <c r="AF39" s="56">
        <f t="shared" si="14"/>
        <v>13.541999999999998</v>
      </c>
      <c r="AG39" s="56">
        <f t="shared" si="14"/>
        <v>13.541999999999998</v>
      </c>
      <c r="AH39" s="56">
        <f t="shared" si="14"/>
        <v>13.541999999999998</v>
      </c>
      <c r="AI39" s="56">
        <f t="shared" si="14"/>
        <v>13.541999999999998</v>
      </c>
      <c r="AJ39" s="56">
        <f t="shared" si="14"/>
        <v>13.541999999999998</v>
      </c>
      <c r="AK39" s="56">
        <f t="shared" si="14"/>
        <v>13.541999999999998</v>
      </c>
      <c r="AL39" s="56">
        <f>SUM(W39:AF39)</f>
        <v>85134.89664</v>
      </c>
      <c r="AM39" s="56">
        <f>+V39+AL39</f>
        <v>93436.09624000001</v>
      </c>
      <c r="AN39" s="59"/>
    </row>
    <row r="40" ht="12.75">
      <c r="V40" s="56"/>
    </row>
    <row r="41" spans="1:22" ht="12.75">
      <c r="A41" s="55" t="s">
        <v>24</v>
      </c>
      <c r="V41" s="56"/>
    </row>
    <row r="42" ht="4.5" customHeight="1">
      <c r="V42" s="56"/>
    </row>
    <row r="43" spans="1:38" ht="12.75">
      <c r="A43" s="14" t="s">
        <v>33</v>
      </c>
      <c r="B43" s="61">
        <f>B25</f>
        <v>0</v>
      </c>
      <c r="C43" s="61">
        <f aca="true" t="shared" si="15" ref="C43:U43">B43+C25</f>
        <v>400</v>
      </c>
      <c r="D43" s="61">
        <f t="shared" si="15"/>
        <v>418</v>
      </c>
      <c r="E43" s="61">
        <f t="shared" si="15"/>
        <v>444</v>
      </c>
      <c r="F43" s="61">
        <f t="shared" si="15"/>
        <v>464</v>
      </c>
      <c r="G43" s="61">
        <f t="shared" si="15"/>
        <v>494</v>
      </c>
      <c r="H43" s="61">
        <f t="shared" si="15"/>
        <v>504</v>
      </c>
      <c r="I43" s="61">
        <f t="shared" si="15"/>
        <v>514</v>
      </c>
      <c r="J43" s="61">
        <f t="shared" si="15"/>
        <v>524</v>
      </c>
      <c r="K43" s="61">
        <f t="shared" si="15"/>
        <v>534</v>
      </c>
      <c r="L43" s="61">
        <f t="shared" si="15"/>
        <v>564</v>
      </c>
      <c r="M43" s="61">
        <f t="shared" si="15"/>
        <v>574</v>
      </c>
      <c r="N43" s="61">
        <f t="shared" si="15"/>
        <v>574</v>
      </c>
      <c r="O43" s="61">
        <f t="shared" si="15"/>
        <v>584</v>
      </c>
      <c r="P43" s="61">
        <f t="shared" si="15"/>
        <v>604</v>
      </c>
      <c r="Q43" s="61">
        <f t="shared" si="15"/>
        <v>7803.673600000001</v>
      </c>
      <c r="R43" s="61">
        <f t="shared" si="15"/>
        <v>7853.673600000001</v>
      </c>
      <c r="S43" s="61">
        <f t="shared" si="15"/>
        <v>7853.673600000001</v>
      </c>
      <c r="T43" s="61">
        <f t="shared" si="15"/>
        <v>7853.673600000001</v>
      </c>
      <c r="U43" s="61">
        <f t="shared" si="15"/>
        <v>8013.673600000001</v>
      </c>
      <c r="V43" s="56">
        <f>U43</f>
        <v>8013.673600000001</v>
      </c>
      <c r="W43" s="61">
        <f aca="true" t="shared" si="16" ref="W43:AE43">V43+W25</f>
        <v>8413.68048</v>
      </c>
      <c r="X43" s="61">
        <f t="shared" si="16"/>
        <v>8813.687360000002</v>
      </c>
      <c r="Y43" s="61">
        <f t="shared" si="16"/>
        <v>11169.129973333334</v>
      </c>
      <c r="Z43" s="61">
        <f t="shared" si="16"/>
        <v>12320.063306666667</v>
      </c>
      <c r="AA43" s="61">
        <f t="shared" si="16"/>
        <v>13470.996640000001</v>
      </c>
      <c r="AB43" s="61">
        <f t="shared" si="16"/>
        <v>13470.996640000001</v>
      </c>
      <c r="AC43" s="61">
        <f t="shared" si="16"/>
        <v>13470.996640000001</v>
      </c>
      <c r="AD43" s="61">
        <f t="shared" si="16"/>
        <v>85931.45744</v>
      </c>
      <c r="AE43" s="61">
        <f t="shared" si="16"/>
        <v>93013.15024</v>
      </c>
      <c r="AF43" s="61">
        <f>AE43+AF25</f>
        <v>93013.15024</v>
      </c>
      <c r="AG43" s="61">
        <f>AF43+AG25</f>
        <v>93013.15024</v>
      </c>
      <c r="AH43" s="61"/>
      <c r="AI43" s="61"/>
      <c r="AJ43" s="61"/>
      <c r="AK43" s="61"/>
      <c r="AL43" s="56">
        <f>AF43</f>
        <v>93013.15024</v>
      </c>
    </row>
    <row r="44" spans="1:38" ht="12.75">
      <c r="A44" s="57" t="s">
        <v>108</v>
      </c>
      <c r="B44" s="64">
        <v>3</v>
      </c>
      <c r="C44" s="61">
        <v>3</v>
      </c>
      <c r="D44" s="61">
        <v>3</v>
      </c>
      <c r="E44" s="61">
        <v>3</v>
      </c>
      <c r="F44" s="61">
        <v>3</v>
      </c>
      <c r="G44" s="61">
        <v>3</v>
      </c>
      <c r="H44" s="61">
        <v>3</v>
      </c>
      <c r="I44" s="61">
        <v>3</v>
      </c>
      <c r="J44" s="61">
        <v>3</v>
      </c>
      <c r="K44" s="61">
        <v>3</v>
      </c>
      <c r="L44" s="61">
        <v>3</v>
      </c>
      <c r="M44" s="61">
        <v>3</v>
      </c>
      <c r="N44" s="61">
        <v>3</v>
      </c>
      <c r="O44" s="61">
        <v>3</v>
      </c>
      <c r="P44" s="61">
        <v>3</v>
      </c>
      <c r="Q44" s="61">
        <v>3</v>
      </c>
      <c r="R44" s="61">
        <v>3</v>
      </c>
      <c r="S44" s="61">
        <v>3</v>
      </c>
      <c r="T44" s="61">
        <v>3</v>
      </c>
      <c r="U44" s="61">
        <v>3</v>
      </c>
      <c r="V44" s="56">
        <f>U44</f>
        <v>3</v>
      </c>
      <c r="W44" s="61">
        <v>3</v>
      </c>
      <c r="X44" s="61">
        <v>3</v>
      </c>
      <c r="Y44" s="61">
        <v>3</v>
      </c>
      <c r="Z44" s="61">
        <v>3</v>
      </c>
      <c r="AA44" s="61">
        <v>3</v>
      </c>
      <c r="AB44" s="61">
        <v>3</v>
      </c>
      <c r="AC44" s="61">
        <v>3</v>
      </c>
      <c r="AD44" s="61">
        <v>3</v>
      </c>
      <c r="AE44" s="61">
        <v>3</v>
      </c>
      <c r="AF44" s="61">
        <v>3</v>
      </c>
      <c r="AG44" s="61">
        <v>3</v>
      </c>
      <c r="AH44" s="61">
        <v>3</v>
      </c>
      <c r="AI44" s="61">
        <v>3</v>
      </c>
      <c r="AJ44" s="61">
        <v>3</v>
      </c>
      <c r="AK44" s="61">
        <v>3</v>
      </c>
      <c r="AL44" s="56">
        <f>AF44</f>
        <v>3</v>
      </c>
    </row>
    <row r="45" spans="1:38" ht="12.75">
      <c r="A45" s="66" t="s">
        <v>109</v>
      </c>
      <c r="B45" s="56">
        <f aca="true" t="shared" si="17" ref="B45:V45">B43+B44</f>
        <v>3</v>
      </c>
      <c r="C45" s="56">
        <f t="shared" si="17"/>
        <v>403</v>
      </c>
      <c r="D45" s="56">
        <f t="shared" si="17"/>
        <v>421</v>
      </c>
      <c r="E45" s="56">
        <f t="shared" si="17"/>
        <v>447</v>
      </c>
      <c r="F45" s="56">
        <f t="shared" si="17"/>
        <v>467</v>
      </c>
      <c r="G45" s="56">
        <f t="shared" si="17"/>
        <v>497</v>
      </c>
      <c r="H45" s="56">
        <f t="shared" si="17"/>
        <v>507</v>
      </c>
      <c r="I45" s="56">
        <f t="shared" si="17"/>
        <v>517</v>
      </c>
      <c r="J45" s="56">
        <f t="shared" si="17"/>
        <v>527</v>
      </c>
      <c r="K45" s="56">
        <f t="shared" si="17"/>
        <v>537</v>
      </c>
      <c r="L45" s="56">
        <f t="shared" si="17"/>
        <v>567</v>
      </c>
      <c r="M45" s="56">
        <f t="shared" si="17"/>
        <v>577</v>
      </c>
      <c r="N45" s="56">
        <f t="shared" si="17"/>
        <v>577</v>
      </c>
      <c r="O45" s="56">
        <f t="shared" si="17"/>
        <v>587</v>
      </c>
      <c r="P45" s="56">
        <f t="shared" si="17"/>
        <v>607</v>
      </c>
      <c r="Q45" s="56">
        <f t="shared" si="17"/>
        <v>7806.673600000001</v>
      </c>
      <c r="R45" s="56">
        <f t="shared" si="17"/>
        <v>7856.673600000001</v>
      </c>
      <c r="S45" s="56">
        <f t="shared" si="17"/>
        <v>7856.673600000001</v>
      </c>
      <c r="T45" s="56">
        <f t="shared" si="17"/>
        <v>7856.673600000001</v>
      </c>
      <c r="U45" s="56">
        <f t="shared" si="17"/>
        <v>8016.673600000001</v>
      </c>
      <c r="V45" s="56">
        <f t="shared" si="17"/>
        <v>8016.673600000001</v>
      </c>
      <c r="W45" s="56">
        <f aca="true" t="shared" si="18" ref="W45:AK45">W43+W44</f>
        <v>8416.68048</v>
      </c>
      <c r="X45" s="56">
        <f t="shared" si="18"/>
        <v>8816.687360000002</v>
      </c>
      <c r="Y45" s="56">
        <f t="shared" si="18"/>
        <v>11172.129973333334</v>
      </c>
      <c r="Z45" s="56">
        <f t="shared" si="18"/>
        <v>12323.063306666667</v>
      </c>
      <c r="AA45" s="56">
        <f t="shared" si="18"/>
        <v>13473.996640000001</v>
      </c>
      <c r="AB45" s="56">
        <f t="shared" si="18"/>
        <v>13473.996640000001</v>
      </c>
      <c r="AC45" s="56">
        <f t="shared" si="18"/>
        <v>13473.996640000001</v>
      </c>
      <c r="AD45" s="56">
        <f t="shared" si="18"/>
        <v>85934.45744</v>
      </c>
      <c r="AE45" s="56">
        <f t="shared" si="18"/>
        <v>93016.15024</v>
      </c>
      <c r="AF45" s="56">
        <f t="shared" si="18"/>
        <v>93016.15024</v>
      </c>
      <c r="AG45" s="56">
        <f t="shared" si="18"/>
        <v>93016.15024</v>
      </c>
      <c r="AH45" s="56">
        <f t="shared" si="18"/>
        <v>3</v>
      </c>
      <c r="AI45" s="56">
        <f t="shared" si="18"/>
        <v>3</v>
      </c>
      <c r="AJ45" s="56">
        <f t="shared" si="18"/>
        <v>3</v>
      </c>
      <c r="AK45" s="56">
        <f t="shared" si="18"/>
        <v>3</v>
      </c>
      <c r="AL45" s="56">
        <f>AF45</f>
        <v>93016.15024</v>
      </c>
    </row>
    <row r="46" spans="2:37" ht="12.7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56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8" ht="12.75" hidden="1" outlineLevel="1">
      <c r="A47" s="57" t="s">
        <v>111</v>
      </c>
      <c r="B47" s="64">
        <v>10</v>
      </c>
      <c r="C47" s="61">
        <v>10</v>
      </c>
      <c r="D47" s="61">
        <v>10</v>
      </c>
      <c r="E47" s="61">
        <v>10</v>
      </c>
      <c r="F47" s="61">
        <v>10</v>
      </c>
      <c r="G47" s="61">
        <v>10</v>
      </c>
      <c r="H47" s="61">
        <v>10</v>
      </c>
      <c r="I47" s="61">
        <v>10</v>
      </c>
      <c r="J47" s="61">
        <v>10</v>
      </c>
      <c r="K47" s="61">
        <v>10</v>
      </c>
      <c r="L47" s="61">
        <v>10</v>
      </c>
      <c r="M47" s="61">
        <v>10</v>
      </c>
      <c r="N47" s="61">
        <v>10</v>
      </c>
      <c r="O47" s="61">
        <v>10</v>
      </c>
      <c r="P47" s="61">
        <v>10</v>
      </c>
      <c r="Q47" s="61">
        <v>10</v>
      </c>
      <c r="R47" s="61">
        <v>10</v>
      </c>
      <c r="S47" s="61">
        <v>10</v>
      </c>
      <c r="T47" s="61">
        <v>10</v>
      </c>
      <c r="U47" s="61">
        <v>10</v>
      </c>
      <c r="V47" s="56">
        <f aca="true" t="shared" si="19" ref="V47:V53">U47</f>
        <v>10</v>
      </c>
      <c r="W47" s="61">
        <v>10</v>
      </c>
      <c r="X47" s="61">
        <v>10</v>
      </c>
      <c r="Y47" s="61">
        <v>10</v>
      </c>
      <c r="Z47" s="61">
        <v>10</v>
      </c>
      <c r="AA47" s="61">
        <v>10</v>
      </c>
      <c r="AB47" s="61">
        <v>10</v>
      </c>
      <c r="AC47" s="61">
        <v>10</v>
      </c>
      <c r="AD47" s="61">
        <v>10</v>
      </c>
      <c r="AE47" s="61">
        <v>10</v>
      </c>
      <c r="AF47" s="61">
        <v>10</v>
      </c>
      <c r="AG47" s="61"/>
      <c r="AH47" s="61"/>
      <c r="AI47" s="61"/>
      <c r="AJ47" s="61"/>
      <c r="AK47" s="61"/>
      <c r="AL47" s="56">
        <f aca="true" t="shared" si="20" ref="AL47:AL53">AF47</f>
        <v>10</v>
      </c>
    </row>
    <row r="48" spans="1:38" ht="12.75" hidden="1" outlineLevel="1">
      <c r="A48" s="57" t="s">
        <v>114</v>
      </c>
      <c r="B48" s="61">
        <f>B56-B47</f>
        <v>8</v>
      </c>
      <c r="C48" s="61">
        <f aca="true" t="shared" si="21" ref="C48:L48">B48+C56</f>
        <v>8</v>
      </c>
      <c r="D48" s="61">
        <f t="shared" si="21"/>
        <v>8</v>
      </c>
      <c r="E48" s="61">
        <f t="shared" si="21"/>
        <v>8</v>
      </c>
      <c r="F48" s="61">
        <f t="shared" si="21"/>
        <v>8</v>
      </c>
      <c r="G48" s="61">
        <f t="shared" si="21"/>
        <v>8</v>
      </c>
      <c r="H48" s="61">
        <f t="shared" si="21"/>
        <v>8</v>
      </c>
      <c r="I48" s="61">
        <f t="shared" si="21"/>
        <v>8</v>
      </c>
      <c r="J48" s="61">
        <f t="shared" si="21"/>
        <v>8</v>
      </c>
      <c r="K48" s="61">
        <f t="shared" si="21"/>
        <v>8</v>
      </c>
      <c r="L48" s="61">
        <f t="shared" si="21"/>
        <v>8</v>
      </c>
      <c r="M48" s="61">
        <f aca="true" t="shared" si="22" ref="M48:U48">L48+M56</f>
        <v>8</v>
      </c>
      <c r="N48" s="61">
        <f t="shared" si="22"/>
        <v>8</v>
      </c>
      <c r="O48" s="61">
        <f t="shared" si="22"/>
        <v>8</v>
      </c>
      <c r="P48" s="61">
        <f t="shared" si="22"/>
        <v>8</v>
      </c>
      <c r="Q48" s="61">
        <f t="shared" si="22"/>
        <v>8</v>
      </c>
      <c r="R48" s="61">
        <f t="shared" si="22"/>
        <v>8</v>
      </c>
      <c r="S48" s="61">
        <f t="shared" si="22"/>
        <v>8</v>
      </c>
      <c r="T48" s="61">
        <f t="shared" si="22"/>
        <v>8</v>
      </c>
      <c r="U48" s="61">
        <f t="shared" si="22"/>
        <v>8</v>
      </c>
      <c r="V48" s="56">
        <f t="shared" si="19"/>
        <v>8</v>
      </c>
      <c r="W48" s="61">
        <f aca="true" t="shared" si="23" ref="W48:AE48">V48+W56</f>
        <v>8</v>
      </c>
      <c r="X48" s="61">
        <f t="shared" si="23"/>
        <v>8</v>
      </c>
      <c r="Y48" s="61">
        <f t="shared" si="23"/>
        <v>8</v>
      </c>
      <c r="Z48" s="61">
        <f t="shared" si="23"/>
        <v>8</v>
      </c>
      <c r="AA48" s="61">
        <f t="shared" si="23"/>
        <v>8</v>
      </c>
      <c r="AB48" s="61">
        <f t="shared" si="23"/>
        <v>8</v>
      </c>
      <c r="AC48" s="61">
        <f t="shared" si="23"/>
        <v>8</v>
      </c>
      <c r="AD48" s="61">
        <f t="shared" si="23"/>
        <v>8</v>
      </c>
      <c r="AE48" s="61">
        <f t="shared" si="23"/>
        <v>8</v>
      </c>
      <c r="AF48" s="61">
        <f>AE48+AF56</f>
        <v>8</v>
      </c>
      <c r="AG48" s="61"/>
      <c r="AH48" s="61"/>
      <c r="AI48" s="61"/>
      <c r="AJ48" s="61"/>
      <c r="AK48" s="61"/>
      <c r="AL48" s="56">
        <f t="shared" si="20"/>
        <v>8</v>
      </c>
    </row>
    <row r="49" spans="1:38" ht="12.75" hidden="1" outlineLevel="1">
      <c r="A49" s="57" t="s">
        <v>18</v>
      </c>
      <c r="B49" s="61">
        <f>-B38</f>
        <v>-15.108</v>
      </c>
      <c r="C49" s="61">
        <f aca="true" t="shared" si="24" ref="C49:U49">+B49-C38</f>
        <v>-17.616</v>
      </c>
      <c r="D49" s="61">
        <f t="shared" si="24"/>
        <v>-32.611</v>
      </c>
      <c r="E49" s="61">
        <f t="shared" si="24"/>
        <v>-47.605999999999995</v>
      </c>
      <c r="F49" s="61">
        <f t="shared" si="24"/>
        <v>-62.60099999999999</v>
      </c>
      <c r="G49" s="61">
        <f t="shared" si="24"/>
        <v>-77.59599999999999</v>
      </c>
      <c r="H49" s="61">
        <f t="shared" si="24"/>
        <v>-92.591</v>
      </c>
      <c r="I49" s="61">
        <f t="shared" si="24"/>
        <v>-107.586</v>
      </c>
      <c r="J49" s="61">
        <f t="shared" si="24"/>
        <v>-122.581</v>
      </c>
      <c r="K49" s="61">
        <f t="shared" si="24"/>
        <v>-137.576</v>
      </c>
      <c r="L49" s="61">
        <f t="shared" si="24"/>
        <v>-152.571</v>
      </c>
      <c r="M49" s="61">
        <f t="shared" si="24"/>
        <v>-167.566</v>
      </c>
      <c r="N49" s="61">
        <f t="shared" si="24"/>
        <v>-182.561</v>
      </c>
      <c r="O49" s="61">
        <f>+N49-O38</f>
        <v>-197.556</v>
      </c>
      <c r="P49" s="61">
        <f t="shared" si="24"/>
        <v>-212.55100000000002</v>
      </c>
      <c r="Q49" s="61">
        <f t="shared" si="24"/>
        <v>-227.54600000000002</v>
      </c>
      <c r="R49" s="61">
        <f t="shared" si="24"/>
        <v>-242.54100000000003</v>
      </c>
      <c r="S49" s="61">
        <f t="shared" si="24"/>
        <v>-257.536</v>
      </c>
      <c r="T49" s="61">
        <f t="shared" si="24"/>
        <v>-272.531</v>
      </c>
      <c r="U49" s="61">
        <f t="shared" si="24"/>
        <v>-287.526</v>
      </c>
      <c r="V49" s="56">
        <f t="shared" si="19"/>
        <v>-287.526</v>
      </c>
      <c r="W49" s="61">
        <f aca="true" t="shared" si="25" ref="W49:AE49">+V49-W38</f>
        <v>-301.068</v>
      </c>
      <c r="X49" s="61">
        <f t="shared" si="25"/>
        <v>-314.60999999999996</v>
      </c>
      <c r="Y49" s="61">
        <f t="shared" si="25"/>
        <v>-328.15199999999993</v>
      </c>
      <c r="Z49" s="61">
        <f t="shared" si="25"/>
        <v>-341.6939999999999</v>
      </c>
      <c r="AA49" s="61">
        <f t="shared" si="25"/>
        <v>-355.2359999999999</v>
      </c>
      <c r="AB49" s="61">
        <f t="shared" si="25"/>
        <v>-368.77799999999985</v>
      </c>
      <c r="AC49" s="61">
        <f t="shared" si="25"/>
        <v>-382.3199999999998</v>
      </c>
      <c r="AD49" s="61">
        <f t="shared" si="25"/>
        <v>-395.8619999999998</v>
      </c>
      <c r="AE49" s="61">
        <f t="shared" si="25"/>
        <v>-409.40399999999977</v>
      </c>
      <c r="AF49" s="61">
        <f>+AE49-AF38</f>
        <v>-422.94599999999974</v>
      </c>
      <c r="AG49" s="61"/>
      <c r="AH49" s="61"/>
      <c r="AI49" s="61"/>
      <c r="AJ49" s="61"/>
      <c r="AK49" s="61"/>
      <c r="AL49" s="56">
        <f t="shared" si="20"/>
        <v>-422.94599999999974</v>
      </c>
    </row>
    <row r="50" spans="1:38" ht="12.75" collapsed="1">
      <c r="A50" s="57" t="s">
        <v>113</v>
      </c>
      <c r="B50" s="61">
        <f aca="true" t="shared" si="26" ref="B50:U50">SUM(B47:B49)</f>
        <v>2.8919999999999995</v>
      </c>
      <c r="C50" s="61">
        <f>SUM(C47:C49)</f>
        <v>0.38400000000000034</v>
      </c>
      <c r="D50" s="61">
        <f t="shared" si="26"/>
        <v>-14.610999999999997</v>
      </c>
      <c r="E50" s="61">
        <f t="shared" si="26"/>
        <v>-29.605999999999995</v>
      </c>
      <c r="F50" s="61">
        <f t="shared" si="26"/>
        <v>-44.60099999999999</v>
      </c>
      <c r="G50" s="61">
        <f t="shared" si="26"/>
        <v>-59.59599999999999</v>
      </c>
      <c r="H50" s="61">
        <f t="shared" si="26"/>
        <v>-74.591</v>
      </c>
      <c r="I50" s="61">
        <f t="shared" si="26"/>
        <v>-89.586</v>
      </c>
      <c r="J50" s="61">
        <f t="shared" si="26"/>
        <v>-104.581</v>
      </c>
      <c r="K50" s="61">
        <f t="shared" si="26"/>
        <v>-119.576</v>
      </c>
      <c r="L50" s="61">
        <f t="shared" si="26"/>
        <v>-134.571</v>
      </c>
      <c r="M50" s="61">
        <f t="shared" si="26"/>
        <v>-149.566</v>
      </c>
      <c r="N50" s="61">
        <f t="shared" si="26"/>
        <v>-164.561</v>
      </c>
      <c r="O50" s="61">
        <f>SUM(O47:O49)</f>
        <v>-179.556</v>
      </c>
      <c r="P50" s="61">
        <f t="shared" si="26"/>
        <v>-194.55100000000002</v>
      </c>
      <c r="Q50" s="61">
        <f t="shared" si="26"/>
        <v>-209.54600000000002</v>
      </c>
      <c r="R50" s="61">
        <f t="shared" si="26"/>
        <v>-224.54100000000003</v>
      </c>
      <c r="S50" s="61">
        <f t="shared" si="26"/>
        <v>-239.536</v>
      </c>
      <c r="T50" s="61">
        <f t="shared" si="26"/>
        <v>-254.531</v>
      </c>
      <c r="U50" s="61">
        <f t="shared" si="26"/>
        <v>-269.526</v>
      </c>
      <c r="V50" s="56">
        <f t="shared" si="19"/>
        <v>-269.526</v>
      </c>
      <c r="W50" s="61">
        <f aca="true" t="shared" si="27" ref="W50:AF50">SUM(W47:W49)</f>
        <v>-283.068</v>
      </c>
      <c r="X50" s="61">
        <f t="shared" si="27"/>
        <v>-296.60999999999996</v>
      </c>
      <c r="Y50" s="61">
        <f t="shared" si="27"/>
        <v>-310.15199999999993</v>
      </c>
      <c r="Z50" s="61">
        <f t="shared" si="27"/>
        <v>-323.6939999999999</v>
      </c>
      <c r="AA50" s="61">
        <f t="shared" si="27"/>
        <v>-337.2359999999999</v>
      </c>
      <c r="AB50" s="61">
        <f t="shared" si="27"/>
        <v>-350.77799999999985</v>
      </c>
      <c r="AC50" s="61">
        <f t="shared" si="27"/>
        <v>-364.3199999999998</v>
      </c>
      <c r="AD50" s="61">
        <f t="shared" si="27"/>
        <v>-377.8619999999998</v>
      </c>
      <c r="AE50" s="61">
        <f t="shared" si="27"/>
        <v>-391.40399999999977</v>
      </c>
      <c r="AF50" s="61">
        <f t="shared" si="27"/>
        <v>-404.94599999999974</v>
      </c>
      <c r="AG50" s="61"/>
      <c r="AH50" s="61"/>
      <c r="AI50" s="61"/>
      <c r="AJ50" s="61"/>
      <c r="AK50" s="61"/>
      <c r="AL50" s="56">
        <f t="shared" si="20"/>
        <v>-404.94599999999974</v>
      </c>
    </row>
    <row r="51" spans="1:38" ht="12.75">
      <c r="A51" s="14" t="s">
        <v>117</v>
      </c>
      <c r="B51" s="61">
        <f>B57</f>
        <v>0</v>
      </c>
      <c r="C51" s="61">
        <f>+B51+C57</f>
        <v>400</v>
      </c>
      <c r="D51" s="61">
        <f>+C51+D57</f>
        <v>0</v>
      </c>
      <c r="E51" s="61">
        <f aca="true" t="shared" si="28" ref="E51:J51">+D51+E57</f>
        <v>0</v>
      </c>
      <c r="F51" s="61">
        <f t="shared" si="28"/>
        <v>0</v>
      </c>
      <c r="G51" s="61">
        <f t="shared" si="28"/>
        <v>0</v>
      </c>
      <c r="H51" s="61">
        <f t="shared" si="28"/>
        <v>0</v>
      </c>
      <c r="I51" s="61">
        <f t="shared" si="28"/>
        <v>0</v>
      </c>
      <c r="J51" s="61">
        <f t="shared" si="28"/>
        <v>0</v>
      </c>
      <c r="K51" s="61">
        <f aca="true" t="shared" si="29" ref="K51:U51">+J51+K57</f>
        <v>0</v>
      </c>
      <c r="L51" s="61">
        <f t="shared" si="29"/>
        <v>0</v>
      </c>
      <c r="M51" s="61">
        <f t="shared" si="29"/>
        <v>0</v>
      </c>
      <c r="N51" s="61">
        <f t="shared" si="29"/>
        <v>0</v>
      </c>
      <c r="O51" s="61">
        <f t="shared" si="29"/>
        <v>0</v>
      </c>
      <c r="P51" s="61">
        <f t="shared" si="29"/>
        <v>0</v>
      </c>
      <c r="Q51" s="61">
        <f t="shared" si="29"/>
        <v>0</v>
      </c>
      <c r="R51" s="61">
        <f t="shared" si="29"/>
        <v>0</v>
      </c>
      <c r="S51" s="61">
        <f t="shared" si="29"/>
        <v>0</v>
      </c>
      <c r="T51" s="61">
        <f t="shared" si="29"/>
        <v>0</v>
      </c>
      <c r="U51" s="61">
        <f t="shared" si="29"/>
        <v>0</v>
      </c>
      <c r="V51" s="56">
        <f t="shared" si="19"/>
        <v>0</v>
      </c>
      <c r="W51" s="61">
        <f aca="true" t="shared" si="30" ref="W51:AE51">+V51+W57</f>
        <v>0</v>
      </c>
      <c r="X51" s="61">
        <f t="shared" si="30"/>
        <v>0</v>
      </c>
      <c r="Y51" s="61">
        <f t="shared" si="30"/>
        <v>0</v>
      </c>
      <c r="Z51" s="61">
        <f t="shared" si="30"/>
        <v>0</v>
      </c>
      <c r="AA51" s="61">
        <f t="shared" si="30"/>
        <v>0</v>
      </c>
      <c r="AB51" s="61">
        <f t="shared" si="30"/>
        <v>0</v>
      </c>
      <c r="AC51" s="61">
        <f t="shared" si="30"/>
        <v>0</v>
      </c>
      <c r="AD51" s="61">
        <f t="shared" si="30"/>
        <v>0</v>
      </c>
      <c r="AE51" s="61">
        <f t="shared" si="30"/>
        <v>0</v>
      </c>
      <c r="AF51" s="61">
        <f>+AE51+AF57</f>
        <v>0</v>
      </c>
      <c r="AG51" s="61"/>
      <c r="AH51" s="61"/>
      <c r="AI51" s="61"/>
      <c r="AJ51" s="61"/>
      <c r="AK51" s="61"/>
      <c r="AL51" s="56">
        <f t="shared" si="20"/>
        <v>0</v>
      </c>
    </row>
    <row r="52" spans="1:38" ht="12.75">
      <c r="A52" s="57" t="s">
        <v>112</v>
      </c>
      <c r="B52" s="61">
        <f>B45-B50-B51</f>
        <v>0.10800000000000054</v>
      </c>
      <c r="C52" s="61">
        <f>C45-C50-C51</f>
        <v>2.6159999999999854</v>
      </c>
      <c r="D52" s="61">
        <f>D45-D50-D51</f>
        <v>435.611</v>
      </c>
      <c r="E52" s="61">
        <f aca="true" t="shared" si="31" ref="E52:J52">E45-E50-E51</f>
        <v>476.606</v>
      </c>
      <c r="F52" s="61">
        <f t="shared" si="31"/>
        <v>511.601</v>
      </c>
      <c r="G52" s="61">
        <f t="shared" si="31"/>
        <v>556.596</v>
      </c>
      <c r="H52" s="61">
        <f t="shared" si="31"/>
        <v>581.591</v>
      </c>
      <c r="I52" s="61">
        <f t="shared" si="31"/>
        <v>606.586</v>
      </c>
      <c r="J52" s="61">
        <f t="shared" si="31"/>
        <v>631.581</v>
      </c>
      <c r="K52" s="61">
        <f aca="true" t="shared" si="32" ref="K52:U52">K45-K50-K51</f>
        <v>656.576</v>
      </c>
      <c r="L52" s="61">
        <f t="shared" si="32"/>
        <v>701.571</v>
      </c>
      <c r="M52" s="61">
        <f t="shared" si="32"/>
        <v>726.566</v>
      </c>
      <c r="N52" s="61">
        <f t="shared" si="32"/>
        <v>741.561</v>
      </c>
      <c r="O52" s="61">
        <f>O45-O50-O51</f>
        <v>766.556</v>
      </c>
      <c r="P52" s="61">
        <f t="shared" si="32"/>
        <v>801.551</v>
      </c>
      <c r="Q52" s="61">
        <f t="shared" si="32"/>
        <v>8016.219600000001</v>
      </c>
      <c r="R52" s="61">
        <f t="shared" si="32"/>
        <v>8081.214600000001</v>
      </c>
      <c r="S52" s="61">
        <f t="shared" si="32"/>
        <v>8096.209600000001</v>
      </c>
      <c r="T52" s="61">
        <f t="shared" si="32"/>
        <v>8111.204600000001</v>
      </c>
      <c r="U52" s="61">
        <f t="shared" si="32"/>
        <v>8286.199600000002</v>
      </c>
      <c r="V52" s="56">
        <f t="shared" si="19"/>
        <v>8286.199600000002</v>
      </c>
      <c r="W52" s="61">
        <f aca="true" t="shared" si="33" ref="W52:AF52">W45-W50-W51</f>
        <v>8699.74848</v>
      </c>
      <c r="X52" s="61">
        <f t="shared" si="33"/>
        <v>9113.297360000002</v>
      </c>
      <c r="Y52" s="61">
        <f t="shared" si="33"/>
        <v>11482.281973333334</v>
      </c>
      <c r="Z52" s="61">
        <f t="shared" si="33"/>
        <v>12646.757306666666</v>
      </c>
      <c r="AA52" s="61">
        <f t="shared" si="33"/>
        <v>13811.232640000002</v>
      </c>
      <c r="AB52" s="61">
        <f t="shared" si="33"/>
        <v>13824.774640000001</v>
      </c>
      <c r="AC52" s="61">
        <f t="shared" si="33"/>
        <v>13838.316640000001</v>
      </c>
      <c r="AD52" s="61">
        <f t="shared" si="33"/>
        <v>86312.31943999999</v>
      </c>
      <c r="AE52" s="61">
        <f t="shared" si="33"/>
        <v>93407.55424</v>
      </c>
      <c r="AF52" s="61">
        <f t="shared" si="33"/>
        <v>93421.09624</v>
      </c>
      <c r="AG52" s="61"/>
      <c r="AH52" s="61"/>
      <c r="AI52" s="61"/>
      <c r="AJ52" s="61"/>
      <c r="AK52" s="61"/>
      <c r="AL52" s="56">
        <f t="shared" si="20"/>
        <v>93421.09624</v>
      </c>
    </row>
    <row r="53" spans="1:38" ht="12.75">
      <c r="A53" s="66" t="s">
        <v>39</v>
      </c>
      <c r="B53" s="56">
        <f>SUM(B50:B52)</f>
        <v>3</v>
      </c>
      <c r="C53" s="56">
        <f aca="true" t="shared" si="34" ref="C53:L53">SUM(C50:C52)</f>
        <v>403</v>
      </c>
      <c r="D53" s="56">
        <f t="shared" si="34"/>
        <v>421</v>
      </c>
      <c r="E53" s="56">
        <f t="shared" si="34"/>
        <v>447</v>
      </c>
      <c r="F53" s="56">
        <f t="shared" si="34"/>
        <v>467</v>
      </c>
      <c r="G53" s="56">
        <f t="shared" si="34"/>
        <v>497</v>
      </c>
      <c r="H53" s="56">
        <f t="shared" si="34"/>
        <v>507</v>
      </c>
      <c r="I53" s="56">
        <f t="shared" si="34"/>
        <v>517</v>
      </c>
      <c r="J53" s="56">
        <f t="shared" si="34"/>
        <v>527</v>
      </c>
      <c r="K53" s="56">
        <f t="shared" si="34"/>
        <v>537</v>
      </c>
      <c r="L53" s="56">
        <f t="shared" si="34"/>
        <v>567</v>
      </c>
      <c r="M53" s="56">
        <f aca="true" t="shared" si="35" ref="M53:U53">SUM(M50:M52)</f>
        <v>577</v>
      </c>
      <c r="N53" s="56">
        <f t="shared" si="35"/>
        <v>577</v>
      </c>
      <c r="O53" s="56">
        <f t="shared" si="35"/>
        <v>587</v>
      </c>
      <c r="P53" s="56">
        <f t="shared" si="35"/>
        <v>607</v>
      </c>
      <c r="Q53" s="56">
        <f t="shared" si="35"/>
        <v>7806.673600000001</v>
      </c>
      <c r="R53" s="56">
        <f t="shared" si="35"/>
        <v>7856.673600000001</v>
      </c>
      <c r="S53" s="56">
        <f t="shared" si="35"/>
        <v>7856.673600000001</v>
      </c>
      <c r="T53" s="56">
        <f t="shared" si="35"/>
        <v>7856.673600000001</v>
      </c>
      <c r="U53" s="56">
        <f t="shared" si="35"/>
        <v>8016.673600000002</v>
      </c>
      <c r="V53" s="56">
        <f t="shared" si="19"/>
        <v>8016.673600000002</v>
      </c>
      <c r="W53" s="56">
        <f aca="true" t="shared" si="36" ref="W53:AF53">SUM(W50:W52)</f>
        <v>8416.68048</v>
      </c>
      <c r="X53" s="56">
        <f t="shared" si="36"/>
        <v>8816.687360000002</v>
      </c>
      <c r="Y53" s="56">
        <f t="shared" si="36"/>
        <v>11172.129973333334</v>
      </c>
      <c r="Z53" s="56">
        <f t="shared" si="36"/>
        <v>12323.063306666667</v>
      </c>
      <c r="AA53" s="56">
        <f t="shared" si="36"/>
        <v>13473.996640000001</v>
      </c>
      <c r="AB53" s="56">
        <f t="shared" si="36"/>
        <v>13473.996640000001</v>
      </c>
      <c r="AC53" s="56">
        <f t="shared" si="36"/>
        <v>13473.996640000001</v>
      </c>
      <c r="AD53" s="56">
        <f t="shared" si="36"/>
        <v>85934.45744</v>
      </c>
      <c r="AE53" s="56">
        <f t="shared" si="36"/>
        <v>93016.15024</v>
      </c>
      <c r="AF53" s="56">
        <f t="shared" si="36"/>
        <v>93016.15024</v>
      </c>
      <c r="AG53" s="56"/>
      <c r="AH53" s="56"/>
      <c r="AI53" s="56"/>
      <c r="AJ53" s="56"/>
      <c r="AK53" s="56"/>
      <c r="AL53" s="56">
        <f t="shared" si="20"/>
        <v>93016.15024</v>
      </c>
    </row>
    <row r="54" ht="4.5" customHeight="1">
      <c r="V54" s="56"/>
    </row>
    <row r="55" spans="1:37" ht="12.75">
      <c r="A55" s="55" t="s">
        <v>115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56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8" ht="12.75">
      <c r="A56" s="57" t="s">
        <v>114</v>
      </c>
      <c r="B56" s="64">
        <v>18</v>
      </c>
      <c r="C56" s="64"/>
      <c r="D56" s="64"/>
      <c r="E56" s="64"/>
      <c r="F56" s="64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56">
        <f>SUM(B56:U56)</f>
        <v>18</v>
      </c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56">
        <f>SUM(W56:AF56)</f>
        <v>0</v>
      </c>
    </row>
    <row r="57" spans="1:38" ht="12.75">
      <c r="A57" s="14" t="s">
        <v>116</v>
      </c>
      <c r="B57" s="64"/>
      <c r="C57" s="64">
        <v>400</v>
      </c>
      <c r="D57" s="64">
        <v>-400</v>
      </c>
      <c r="E57" s="64"/>
      <c r="F57" s="64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56">
        <f>SUM(B57:U57)</f>
        <v>0</v>
      </c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56">
        <f>SUM(W57:AF57)</f>
        <v>0</v>
      </c>
    </row>
    <row r="58" spans="2:38" ht="12.75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56">
        <f>SUM(B58:U58)</f>
        <v>0</v>
      </c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56">
        <f>SUM(W58:AF58)</f>
        <v>0</v>
      </c>
    </row>
    <row r="59" spans="1:38" ht="12.75">
      <c r="A59" s="66" t="str">
        <f>A55</f>
        <v>Financing</v>
      </c>
      <c r="B59" s="56">
        <f>SUM(B56:B58)</f>
        <v>18</v>
      </c>
      <c r="C59" s="56">
        <f>SUM(C56:C58)</f>
        <v>400</v>
      </c>
      <c r="D59" s="56">
        <f aca="true" t="shared" si="37" ref="D59:T59">SUM(D56:D58)</f>
        <v>-400</v>
      </c>
      <c r="E59" s="56">
        <f t="shared" si="37"/>
        <v>0</v>
      </c>
      <c r="F59" s="56">
        <f t="shared" si="37"/>
        <v>0</v>
      </c>
      <c r="G59" s="56">
        <f t="shared" si="37"/>
        <v>0</v>
      </c>
      <c r="H59" s="56">
        <f t="shared" si="37"/>
        <v>0</v>
      </c>
      <c r="I59" s="56">
        <f t="shared" si="37"/>
        <v>0</v>
      </c>
      <c r="J59" s="56">
        <f t="shared" si="37"/>
        <v>0</v>
      </c>
      <c r="K59" s="56">
        <f t="shared" si="37"/>
        <v>0</v>
      </c>
      <c r="L59" s="56">
        <f t="shared" si="37"/>
        <v>0</v>
      </c>
      <c r="M59" s="56">
        <f t="shared" si="37"/>
        <v>0</v>
      </c>
      <c r="N59" s="56">
        <f t="shared" si="37"/>
        <v>0</v>
      </c>
      <c r="O59" s="56">
        <f t="shared" si="37"/>
        <v>0</v>
      </c>
      <c r="P59" s="56">
        <f t="shared" si="37"/>
        <v>0</v>
      </c>
      <c r="Q59" s="56">
        <f t="shared" si="37"/>
        <v>0</v>
      </c>
      <c r="R59" s="56">
        <f t="shared" si="37"/>
        <v>0</v>
      </c>
      <c r="S59" s="56">
        <f t="shared" si="37"/>
        <v>0</v>
      </c>
      <c r="T59" s="56">
        <f t="shared" si="37"/>
        <v>0</v>
      </c>
      <c r="U59" s="56">
        <f>SUM(U56:U58)</f>
        <v>0</v>
      </c>
      <c r="V59" s="56">
        <f>SUM(B59:U59)</f>
        <v>18</v>
      </c>
      <c r="W59" s="56">
        <f>SUM(W56:W58)</f>
        <v>0</v>
      </c>
      <c r="X59" s="56">
        <f>SUM(X56:X58)</f>
        <v>0</v>
      </c>
      <c r="Y59" s="56">
        <f aca="true" t="shared" si="38" ref="Y59:AL59">SUM(Y56:Y58)</f>
        <v>0</v>
      </c>
      <c r="Z59" s="56">
        <f t="shared" si="38"/>
        <v>0</v>
      </c>
      <c r="AA59" s="56">
        <f t="shared" si="38"/>
        <v>0</v>
      </c>
      <c r="AB59" s="56">
        <f t="shared" si="38"/>
        <v>0</v>
      </c>
      <c r="AC59" s="56">
        <f t="shared" si="38"/>
        <v>0</v>
      </c>
      <c r="AD59" s="56">
        <f t="shared" si="38"/>
        <v>0</v>
      </c>
      <c r="AE59" s="56">
        <f t="shared" si="38"/>
        <v>0</v>
      </c>
      <c r="AF59" s="56">
        <f t="shared" si="38"/>
        <v>0</v>
      </c>
      <c r="AG59" s="56"/>
      <c r="AH59" s="56"/>
      <c r="AI59" s="56"/>
      <c r="AJ59" s="56"/>
      <c r="AK59" s="56"/>
      <c r="AL59" s="56">
        <f t="shared" si="38"/>
        <v>0</v>
      </c>
    </row>
    <row r="61" spans="1:38" ht="12.75">
      <c r="A61" s="66" t="s">
        <v>118</v>
      </c>
      <c r="B61" s="56">
        <f>B59-B39</f>
        <v>2.8919999999999995</v>
      </c>
      <c r="C61" s="56">
        <f aca="true" t="shared" si="39" ref="C61:T61">C59-C39</f>
        <v>-2.5079999999999814</v>
      </c>
      <c r="D61" s="56">
        <f t="shared" si="39"/>
        <v>-432.995</v>
      </c>
      <c r="E61" s="56">
        <f t="shared" si="39"/>
        <v>-40.995</v>
      </c>
      <c r="F61" s="56">
        <f t="shared" si="39"/>
        <v>-34.995</v>
      </c>
      <c r="G61" s="56">
        <f t="shared" si="39"/>
        <v>-44.995</v>
      </c>
      <c r="H61" s="56">
        <f t="shared" si="39"/>
        <v>-24.994999999999997</v>
      </c>
      <c r="I61" s="56">
        <f t="shared" si="39"/>
        <v>-24.994999999999997</v>
      </c>
      <c r="J61" s="56">
        <f t="shared" si="39"/>
        <v>-24.994999999999997</v>
      </c>
      <c r="K61" s="56">
        <f t="shared" si="39"/>
        <v>-24.994999999999997</v>
      </c>
      <c r="L61" s="56">
        <f t="shared" si="39"/>
        <v>-44.995</v>
      </c>
      <c r="M61" s="56">
        <f t="shared" si="39"/>
        <v>-24.994999999999997</v>
      </c>
      <c r="N61" s="56">
        <f t="shared" si="39"/>
        <v>-14.995</v>
      </c>
      <c r="O61" s="56">
        <f t="shared" si="39"/>
        <v>-24.994999999999997</v>
      </c>
      <c r="P61" s="56">
        <f t="shared" si="39"/>
        <v>-34.995</v>
      </c>
      <c r="Q61" s="56">
        <f t="shared" si="39"/>
        <v>-7214.668600000001</v>
      </c>
      <c r="R61" s="56">
        <f t="shared" si="39"/>
        <v>-64.995</v>
      </c>
      <c r="S61" s="56">
        <f t="shared" si="39"/>
        <v>-14.995</v>
      </c>
      <c r="T61" s="56">
        <f t="shared" si="39"/>
        <v>-14.995</v>
      </c>
      <c r="U61" s="56">
        <f aca="true" t="shared" si="40" ref="U61:AF61">U59-U39</f>
        <v>-174.995</v>
      </c>
      <c r="V61" s="56">
        <f t="shared" si="40"/>
        <v>-8283.199600000002</v>
      </c>
      <c r="W61" s="56">
        <f t="shared" si="40"/>
        <v>-413.54887999999994</v>
      </c>
      <c r="X61" s="56">
        <f t="shared" si="40"/>
        <v>-413.54887999999994</v>
      </c>
      <c r="Y61" s="56">
        <f t="shared" si="40"/>
        <v>-2368.984613333333</v>
      </c>
      <c r="Z61" s="56">
        <f t="shared" si="40"/>
        <v>-1164.4753333333333</v>
      </c>
      <c r="AA61" s="56">
        <f t="shared" si="40"/>
        <v>-1164.4753333333333</v>
      </c>
      <c r="AB61" s="56">
        <f t="shared" si="40"/>
        <v>-13.541999999999998</v>
      </c>
      <c r="AC61" s="56">
        <f t="shared" si="40"/>
        <v>-13.541999999999998</v>
      </c>
      <c r="AD61" s="56">
        <f t="shared" si="40"/>
        <v>-72474.0028</v>
      </c>
      <c r="AE61" s="56">
        <f t="shared" si="40"/>
        <v>-7095.234799999999</v>
      </c>
      <c r="AF61" s="56">
        <f t="shared" si="40"/>
        <v>-13.541999999999998</v>
      </c>
      <c r="AG61" s="56"/>
      <c r="AH61" s="56"/>
      <c r="AI61" s="56"/>
      <c r="AJ61" s="56"/>
      <c r="AK61" s="56"/>
      <c r="AL61" s="56">
        <f>AF61</f>
        <v>-13.541999999999998</v>
      </c>
    </row>
    <row r="63" spans="1:38" ht="12.75">
      <c r="A63" s="66" t="s">
        <v>164</v>
      </c>
      <c r="B63" s="56">
        <f>B61</f>
        <v>2.8919999999999995</v>
      </c>
      <c r="C63" s="56">
        <f>B63+C61</f>
        <v>0.3840000000000181</v>
      </c>
      <c r="D63" s="56">
        <f aca="true" t="shared" si="41" ref="D63:K63">C63+D61</f>
        <v>-432.611</v>
      </c>
      <c r="E63" s="56">
        <f t="shared" si="41"/>
        <v>-473.606</v>
      </c>
      <c r="F63" s="56">
        <f t="shared" si="41"/>
        <v>-508.601</v>
      </c>
      <c r="G63" s="56">
        <f t="shared" si="41"/>
        <v>-553.596</v>
      </c>
      <c r="H63" s="56">
        <f t="shared" si="41"/>
        <v>-578.591</v>
      </c>
      <c r="I63" s="56">
        <f t="shared" si="41"/>
        <v>-603.586</v>
      </c>
      <c r="J63" s="56">
        <f t="shared" si="41"/>
        <v>-628.581</v>
      </c>
      <c r="K63" s="56">
        <f t="shared" si="41"/>
        <v>-653.576</v>
      </c>
      <c r="L63" s="56">
        <f aca="true" t="shared" si="42" ref="L63:U63">K63+L61</f>
        <v>-698.571</v>
      </c>
      <c r="M63" s="56">
        <f t="shared" si="42"/>
        <v>-723.566</v>
      </c>
      <c r="N63" s="56">
        <f t="shared" si="42"/>
        <v>-738.561</v>
      </c>
      <c r="O63" s="56">
        <f t="shared" si="42"/>
        <v>-763.556</v>
      </c>
      <c r="P63" s="56">
        <f t="shared" si="42"/>
        <v>-798.551</v>
      </c>
      <c r="Q63" s="56">
        <f t="shared" si="42"/>
        <v>-8013.219600000001</v>
      </c>
      <c r="R63" s="56">
        <f t="shared" si="42"/>
        <v>-8078.214600000001</v>
      </c>
      <c r="S63" s="56">
        <f t="shared" si="42"/>
        <v>-8093.209600000001</v>
      </c>
      <c r="T63" s="56">
        <f t="shared" si="42"/>
        <v>-8108.204600000001</v>
      </c>
      <c r="U63" s="56">
        <f t="shared" si="42"/>
        <v>-8283.199600000002</v>
      </c>
      <c r="V63" s="56">
        <f>+U63</f>
        <v>-8283.199600000002</v>
      </c>
      <c r="W63" s="56">
        <f>V63+W61</f>
        <v>-8696.748480000002</v>
      </c>
      <c r="X63" s="56">
        <f aca="true" t="shared" si="43" ref="X63:AE63">W63+X61</f>
        <v>-9110.297360000002</v>
      </c>
      <c r="Y63" s="56">
        <f t="shared" si="43"/>
        <v>-11479.281973333334</v>
      </c>
      <c r="Z63" s="56">
        <f t="shared" si="43"/>
        <v>-12643.757306666668</v>
      </c>
      <c r="AA63" s="56">
        <f t="shared" si="43"/>
        <v>-13808.232640000002</v>
      </c>
      <c r="AB63" s="56">
        <f t="shared" si="43"/>
        <v>-13821.774640000001</v>
      </c>
      <c r="AC63" s="56">
        <f t="shared" si="43"/>
        <v>-13835.316640000001</v>
      </c>
      <c r="AD63" s="56">
        <f t="shared" si="43"/>
        <v>-86309.31944</v>
      </c>
      <c r="AE63" s="56">
        <f t="shared" si="43"/>
        <v>-93404.55424000001</v>
      </c>
      <c r="AF63" s="56">
        <f>AE63+AF61</f>
        <v>-93418.09624000001</v>
      </c>
      <c r="AG63" s="56"/>
      <c r="AH63" s="56"/>
      <c r="AI63" s="56"/>
      <c r="AJ63" s="56"/>
      <c r="AK63" s="56"/>
      <c r="AL63" s="56">
        <f>AF63</f>
        <v>-93418.09624000001</v>
      </c>
    </row>
  </sheetData>
  <sheetProtection/>
  <printOptions/>
  <pageMargins left="0.7" right="0.7" top="0.75" bottom="0.75" header="0.3" footer="0.3"/>
  <pageSetup horizontalDpi="1200" verticalDpi="1200" orientation="landscape" paperSize="9" r:id="rId1"/>
  <ignoredErrors>
    <ignoredError sqref="V48:V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91"/>
  <sheetViews>
    <sheetView zoomScale="82" zoomScaleNormal="82" zoomScalePageLayoutView="0" workbookViewId="0" topLeftCell="A1">
      <selection activeCell="F11" sqref="F11"/>
    </sheetView>
  </sheetViews>
  <sheetFormatPr defaultColWidth="14.421875" defaultRowHeight="12.75" outlineLevelRow="1"/>
  <cols>
    <col min="1" max="1" width="31.140625" style="1" customWidth="1"/>
    <col min="2" max="2" width="12.57421875" style="23" customWidth="1"/>
    <col min="3" max="3" width="9.00390625" style="24" customWidth="1"/>
    <col min="4" max="4" width="9.00390625" style="25" customWidth="1"/>
    <col min="5" max="13" width="9.00390625" style="1" customWidth="1"/>
    <col min="14" max="14" width="13.8515625" style="1" customWidth="1"/>
    <col min="15" max="15" width="31.00390625" style="1" customWidth="1"/>
    <col min="16" max="24" width="9.00390625" style="1" customWidth="1"/>
    <col min="25" max="16384" width="14.421875" style="1" customWidth="1"/>
  </cols>
  <sheetData>
    <row r="1" spans="1:5" s="14" customFormat="1" ht="12.75">
      <c r="A1" s="87" t="s">
        <v>12</v>
      </c>
      <c r="B1" s="198">
        <v>5784020</v>
      </c>
      <c r="D1" s="71"/>
      <c r="E1" s="57"/>
    </row>
    <row r="2" spans="1:4" s="14" customFormat="1" ht="12.75">
      <c r="A2" s="87" t="s">
        <v>8</v>
      </c>
      <c r="B2" s="196">
        <v>10</v>
      </c>
      <c r="C2" s="70"/>
      <c r="D2" s="71"/>
    </row>
    <row r="3" spans="1:4" s="14" customFormat="1" ht="12.75">
      <c r="A3" s="87" t="s">
        <v>9</v>
      </c>
      <c r="B3" s="197">
        <v>95</v>
      </c>
      <c r="D3" s="71"/>
    </row>
    <row r="4" spans="1:4" s="14" customFormat="1" ht="12.75">
      <c r="A4" s="127" t="s">
        <v>10</v>
      </c>
      <c r="B4" s="199">
        <v>0.3</v>
      </c>
      <c r="C4" s="70"/>
      <c r="D4" s="71"/>
    </row>
    <row r="5" spans="1:4" s="14" customFormat="1" ht="12.75">
      <c r="A5" s="87" t="s">
        <v>11</v>
      </c>
      <c r="B5" s="198">
        <f>+B1*B2*B3%</f>
        <v>54948190</v>
      </c>
      <c r="C5" s="70"/>
      <c r="D5" s="71"/>
    </row>
    <row r="6" spans="1:24" s="14" customFormat="1" ht="12.75">
      <c r="A6" s="87" t="s">
        <v>21</v>
      </c>
      <c r="B6" s="200">
        <v>1000000</v>
      </c>
      <c r="C6" s="129">
        <v>2007</v>
      </c>
      <c r="D6" s="129">
        <v>2008</v>
      </c>
      <c r="E6" s="130">
        <f aca="true" t="shared" si="0" ref="E6:K6">D6+1</f>
        <v>2009</v>
      </c>
      <c r="F6" s="128">
        <f t="shared" si="0"/>
        <v>2010</v>
      </c>
      <c r="G6" s="130">
        <f t="shared" si="0"/>
        <v>2011</v>
      </c>
      <c r="H6" s="130">
        <f t="shared" si="0"/>
        <v>2012</v>
      </c>
      <c r="I6" s="130">
        <f t="shared" si="0"/>
        <v>2013</v>
      </c>
      <c r="J6" s="130">
        <f t="shared" si="0"/>
        <v>2014</v>
      </c>
      <c r="K6" s="130">
        <f t="shared" si="0"/>
        <v>2015</v>
      </c>
      <c r="L6" s="130">
        <f aca="true" t="shared" si="1" ref="L6:R6">K6+1</f>
        <v>2016</v>
      </c>
      <c r="M6" s="158">
        <f t="shared" si="1"/>
        <v>2017</v>
      </c>
      <c r="N6" s="28"/>
      <c r="O6" s="28"/>
      <c r="P6" s="130">
        <f>M6+1</f>
        <v>2018</v>
      </c>
      <c r="Q6" s="130">
        <f t="shared" si="1"/>
        <v>2019</v>
      </c>
      <c r="R6" s="130">
        <f t="shared" si="1"/>
        <v>2020</v>
      </c>
      <c r="S6" s="130">
        <f aca="true" t="shared" si="2" ref="S6:X6">R6+1</f>
        <v>2021</v>
      </c>
      <c r="T6" s="130">
        <f t="shared" si="2"/>
        <v>2022</v>
      </c>
      <c r="U6" s="130">
        <f t="shared" si="2"/>
        <v>2023</v>
      </c>
      <c r="V6" s="130">
        <f t="shared" si="2"/>
        <v>2024</v>
      </c>
      <c r="W6" s="130">
        <f t="shared" si="2"/>
        <v>2025</v>
      </c>
      <c r="X6" s="128">
        <f t="shared" si="2"/>
        <v>2026</v>
      </c>
    </row>
    <row r="7" spans="3:24" s="18" customFormat="1" ht="13.5" thickBot="1">
      <c r="C7" s="179">
        <v>1</v>
      </c>
      <c r="D7" s="179">
        <v>2</v>
      </c>
      <c r="E7" s="179">
        <v>3</v>
      </c>
      <c r="F7" s="179">
        <v>4</v>
      </c>
      <c r="G7" s="179">
        <v>5</v>
      </c>
      <c r="H7" s="179">
        <v>6</v>
      </c>
      <c r="I7" s="179">
        <v>7</v>
      </c>
      <c r="J7" s="179">
        <v>8</v>
      </c>
      <c r="K7" s="179">
        <v>9</v>
      </c>
      <c r="L7" s="179">
        <v>10</v>
      </c>
      <c r="M7" s="179">
        <v>11</v>
      </c>
      <c r="N7" s="73"/>
      <c r="O7" s="73"/>
      <c r="P7" s="179">
        <v>12</v>
      </c>
      <c r="Q7" s="179">
        <v>13</v>
      </c>
      <c r="R7" s="179">
        <v>14</v>
      </c>
      <c r="S7" s="179">
        <v>15</v>
      </c>
      <c r="T7" s="179">
        <v>16</v>
      </c>
      <c r="U7" s="179">
        <v>17</v>
      </c>
      <c r="V7" s="179">
        <v>18</v>
      </c>
      <c r="W7" s="179">
        <v>19</v>
      </c>
      <c r="X7" s="179">
        <v>20</v>
      </c>
    </row>
    <row r="8" spans="1:24" s="30" customFormat="1" ht="13.5" thickBot="1">
      <c r="A8" s="102" t="s">
        <v>31</v>
      </c>
      <c r="B8" s="95"/>
      <c r="C8" s="95">
        <f>'Long-term financing'!H33</f>
        <v>0.4</v>
      </c>
      <c r="D8" s="95">
        <f>'Long-term financing'!I33</f>
        <v>10.492966000000001</v>
      </c>
      <c r="E8" s="95">
        <f>'Long-term financing'!J33</f>
        <v>96.01334107733332</v>
      </c>
      <c r="F8" s="95">
        <f>'Long-term financing'!K33</f>
        <v>89.18381671466665</v>
      </c>
      <c r="G8" s="95">
        <f>'Long-term financing'!L33</f>
        <v>82.35429235199997</v>
      </c>
      <c r="H8" s="95">
        <f>'Long-term financing'!M33</f>
        <v>75.5247679893333</v>
      </c>
      <c r="I8" s="95">
        <f>'Long-term financing'!N33</f>
        <v>68.69524362666662</v>
      </c>
      <c r="J8" s="95">
        <f>'Long-term financing'!O33</f>
        <v>61.86571926399996</v>
      </c>
      <c r="K8" s="95">
        <f>'Long-term financing'!P33</f>
        <v>55.03619490133329</v>
      </c>
      <c r="L8" s="95">
        <f>'Long-term financing'!Q33</f>
        <v>48.20667053866662</v>
      </c>
      <c r="M8" s="95">
        <f>'Long-term financing'!R33</f>
        <v>41.377146175999954</v>
      </c>
      <c r="N8" s="79"/>
      <c r="O8" s="102" t="s">
        <v>31</v>
      </c>
      <c r="P8" s="180">
        <f>'Long-term financing'!S33</f>
        <v>34.547621813333286</v>
      </c>
      <c r="Q8" s="180">
        <f>'Long-term financing'!V33</f>
        <v>27.71809745066662</v>
      </c>
      <c r="R8" s="180">
        <f>'Long-term financing'!W33</f>
        <v>20.88857308799995</v>
      </c>
      <c r="S8" s="180">
        <f>'Long-term financing'!X33</f>
        <v>14.059048725333284</v>
      </c>
      <c r="T8" s="180">
        <f>'Long-term financing'!Y33</f>
        <v>7.2295243626666155</v>
      </c>
      <c r="U8" s="180">
        <f>'Long-term financing'!Z33</f>
        <v>0.39999999999994706</v>
      </c>
      <c r="V8" s="180">
        <f>'Long-term financing'!AA33</f>
        <v>-6.429524362666721</v>
      </c>
      <c r="W8" s="180">
        <f>'Long-term financing'!AB33</f>
        <v>-13.25904872533339</v>
      </c>
      <c r="X8" s="181">
        <f>'Long-term financing'!AC33</f>
        <v>-20.088573088000057</v>
      </c>
    </row>
    <row r="9" spans="1:24" s="18" customFormat="1" ht="12.75">
      <c r="A9" s="89" t="s">
        <v>30</v>
      </c>
      <c r="B9" s="91"/>
      <c r="C9" s="91"/>
      <c r="D9" s="92"/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77"/>
      <c r="O9" s="89" t="s">
        <v>30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</row>
    <row r="10" spans="1:24" s="18" customFormat="1" ht="12.75">
      <c r="A10" s="56" t="s">
        <v>13</v>
      </c>
      <c r="B10" s="76">
        <f>B5*B4/B6/12</f>
        <v>1.37370475</v>
      </c>
      <c r="C10" s="76"/>
      <c r="D10" s="56"/>
      <c r="E10" s="56">
        <f>Baseline!D22*1000/10*B4/B6</f>
        <v>0.7555376124999997</v>
      </c>
      <c r="F10" s="56">
        <f>B10*F9/100+B10</f>
        <v>1.37370475</v>
      </c>
      <c r="G10" s="56">
        <f aca="true" t="shared" si="3" ref="G10:M10">F10*G9/100+F10</f>
        <v>1.37370475</v>
      </c>
      <c r="H10" s="56">
        <f t="shared" si="3"/>
        <v>1.37370475</v>
      </c>
      <c r="I10" s="56">
        <f t="shared" si="3"/>
        <v>1.37370475</v>
      </c>
      <c r="J10" s="56">
        <f t="shared" si="3"/>
        <v>1.37370475</v>
      </c>
      <c r="K10" s="56">
        <f t="shared" si="3"/>
        <v>1.37370475</v>
      </c>
      <c r="L10" s="56">
        <f t="shared" si="3"/>
        <v>1.37370475</v>
      </c>
      <c r="M10" s="56">
        <f t="shared" si="3"/>
        <v>1.37370475</v>
      </c>
      <c r="O10" s="56" t="s">
        <v>13</v>
      </c>
      <c r="P10" s="56">
        <f>M10*P9/100+M10</f>
        <v>1.37370475</v>
      </c>
      <c r="Q10" s="56">
        <f aca="true" t="shared" si="4" ref="Q10:X10">P10*Q9/100+P10</f>
        <v>1.37370475</v>
      </c>
      <c r="R10" s="56">
        <f t="shared" si="4"/>
        <v>1.37370475</v>
      </c>
      <c r="S10" s="56">
        <f t="shared" si="4"/>
        <v>1.37370475</v>
      </c>
      <c r="T10" s="56">
        <f t="shared" si="4"/>
        <v>1.37370475</v>
      </c>
      <c r="U10" s="56">
        <f t="shared" si="4"/>
        <v>1.37370475</v>
      </c>
      <c r="V10" s="56">
        <f t="shared" si="4"/>
        <v>1.37370475</v>
      </c>
      <c r="W10" s="56">
        <f t="shared" si="4"/>
        <v>1.37370475</v>
      </c>
      <c r="X10" s="56">
        <f t="shared" si="4"/>
        <v>1.37370475</v>
      </c>
    </row>
    <row r="11" spans="1:24" s="18" customFormat="1" ht="13.5" thickBot="1">
      <c r="A11" s="88" t="s">
        <v>14</v>
      </c>
      <c r="B11" s="93"/>
      <c r="C11" s="93"/>
      <c r="D11" s="88"/>
      <c r="E11" s="88"/>
      <c r="F11" s="88">
        <f>15766*10*3.4528/B6</f>
        <v>0.544368448</v>
      </c>
      <c r="G11" s="88">
        <f>34398*10*3.4528/B6</f>
        <v>1.187694144</v>
      </c>
      <c r="H11" s="88">
        <f aca="true" t="shared" si="5" ref="H11:X11">+G11</f>
        <v>1.187694144</v>
      </c>
      <c r="I11" s="88">
        <f t="shared" si="5"/>
        <v>1.187694144</v>
      </c>
      <c r="J11" s="88">
        <v>0</v>
      </c>
      <c r="K11" s="88">
        <f t="shared" si="5"/>
        <v>0</v>
      </c>
      <c r="L11" s="88">
        <f t="shared" si="5"/>
        <v>0</v>
      </c>
      <c r="M11" s="88">
        <f t="shared" si="5"/>
        <v>0</v>
      </c>
      <c r="O11" s="88" t="s">
        <v>14</v>
      </c>
      <c r="P11" s="88">
        <f>+M11</f>
        <v>0</v>
      </c>
      <c r="Q11" s="88">
        <f t="shared" si="5"/>
        <v>0</v>
      </c>
      <c r="R11" s="88">
        <f t="shared" si="5"/>
        <v>0</v>
      </c>
      <c r="S11" s="88">
        <f>+R11</f>
        <v>0</v>
      </c>
      <c r="T11" s="88">
        <f t="shared" si="5"/>
        <v>0</v>
      </c>
      <c r="U11" s="88">
        <f t="shared" si="5"/>
        <v>0</v>
      </c>
      <c r="V11" s="88">
        <f t="shared" si="5"/>
        <v>0</v>
      </c>
      <c r="W11" s="88">
        <f t="shared" si="5"/>
        <v>0</v>
      </c>
      <c r="X11" s="88">
        <f t="shared" si="5"/>
        <v>0</v>
      </c>
    </row>
    <row r="12" spans="1:24" s="30" customFormat="1" ht="13.5" thickBot="1">
      <c r="A12" s="102" t="s">
        <v>16</v>
      </c>
      <c r="B12" s="37"/>
      <c r="C12" s="103"/>
      <c r="D12" s="37">
        <f>D10*1</f>
        <v>0</v>
      </c>
      <c r="E12" s="37">
        <f>E10*12+E11</f>
        <v>9.066451349999998</v>
      </c>
      <c r="F12" s="37">
        <f>F10*12+F11</f>
        <v>17.028825448</v>
      </c>
      <c r="G12" s="37">
        <f aca="true" t="shared" si="6" ref="G12:X12">G10*12+G11</f>
        <v>17.672151143999997</v>
      </c>
      <c r="H12" s="37">
        <f t="shared" si="6"/>
        <v>17.672151143999997</v>
      </c>
      <c r="I12" s="37">
        <f t="shared" si="6"/>
        <v>17.672151143999997</v>
      </c>
      <c r="J12" s="37">
        <f t="shared" si="6"/>
        <v>16.484457</v>
      </c>
      <c r="K12" s="37">
        <f t="shared" si="6"/>
        <v>16.484457</v>
      </c>
      <c r="L12" s="37">
        <f t="shared" si="6"/>
        <v>16.484457</v>
      </c>
      <c r="M12" s="37">
        <f t="shared" si="6"/>
        <v>16.484457</v>
      </c>
      <c r="O12" s="102" t="s">
        <v>16</v>
      </c>
      <c r="P12" s="37">
        <f t="shared" si="6"/>
        <v>16.484457</v>
      </c>
      <c r="Q12" s="37">
        <f t="shared" si="6"/>
        <v>16.484457</v>
      </c>
      <c r="R12" s="37">
        <f t="shared" si="6"/>
        <v>16.484457</v>
      </c>
      <c r="S12" s="37">
        <f t="shared" si="6"/>
        <v>16.484457</v>
      </c>
      <c r="T12" s="37">
        <f t="shared" si="6"/>
        <v>16.484457</v>
      </c>
      <c r="U12" s="37">
        <f t="shared" si="6"/>
        <v>16.484457</v>
      </c>
      <c r="V12" s="37">
        <f t="shared" si="6"/>
        <v>16.484457</v>
      </c>
      <c r="W12" s="37">
        <f t="shared" si="6"/>
        <v>16.484457</v>
      </c>
      <c r="X12" s="38">
        <f t="shared" si="6"/>
        <v>16.484457</v>
      </c>
    </row>
    <row r="13" spans="1:24" s="18" customFormat="1" ht="12.75" outlineLevel="1">
      <c r="A13" s="89" t="s">
        <v>15</v>
      </c>
      <c r="B13" s="90"/>
      <c r="C13" s="90">
        <f>+Operation_exp!D22</f>
        <v>0.4078</v>
      </c>
      <c r="D13" s="90">
        <f>Operation_exp!D22</f>
        <v>0.4078</v>
      </c>
      <c r="E13" s="90">
        <f>Operation_exp!E22</f>
        <v>0.1278</v>
      </c>
      <c r="F13" s="90">
        <f>Operation_exp!F22</f>
        <v>0.503195</v>
      </c>
      <c r="G13" s="90">
        <f>Operation_exp!G22</f>
        <v>0.6195005</v>
      </c>
      <c r="H13" s="90">
        <f>Operation_exp!H22</f>
        <v>0.6459179749999999</v>
      </c>
      <c r="I13" s="90">
        <f>Operation_exp!I22</f>
        <v>1.98465632375</v>
      </c>
      <c r="J13" s="90">
        <f>Operation_exp!J22</f>
        <v>2.0137815899374996</v>
      </c>
      <c r="K13" s="90">
        <f>Operation_exp!K22</f>
        <v>2.044363119434375</v>
      </c>
      <c r="L13" s="90">
        <f>Operation_exp!N22</f>
        <v>2.076473725406094</v>
      </c>
      <c r="M13" s="90">
        <f>Operation_exp!O22</f>
        <v>2.1101898616763983</v>
      </c>
      <c r="N13" s="73"/>
      <c r="O13" s="89" t="s">
        <v>15</v>
      </c>
      <c r="P13" s="90">
        <f>Operation_exp!P22</f>
        <v>2.145591804760218</v>
      </c>
      <c r="Q13" s="90">
        <f>Operation_exp!Q22</f>
        <v>2.1827638449982296</v>
      </c>
      <c r="R13" s="90">
        <f>Operation_exp!R22</f>
        <v>2.221794487248141</v>
      </c>
      <c r="S13" s="90">
        <f>Operation_exp!S22</f>
        <v>2.2627766616105482</v>
      </c>
      <c r="T13" s="90">
        <f>Operation_exp!T22</f>
        <v>2.305807944691075</v>
      </c>
      <c r="U13" s="90">
        <f>Operation_exp!U22</f>
        <v>0</v>
      </c>
      <c r="V13" s="90">
        <f>Operation_exp!V22</f>
        <v>0</v>
      </c>
      <c r="W13" s="90">
        <f>Operation_exp!W22</f>
        <v>0</v>
      </c>
      <c r="X13" s="90">
        <f>Operation_exp!X22</f>
        <v>0</v>
      </c>
    </row>
    <row r="14" spans="1:24" s="18" customFormat="1" ht="12.75" outlineLevel="1">
      <c r="A14" s="56" t="s">
        <v>54</v>
      </c>
      <c r="B14" s="76"/>
      <c r="C14" s="76">
        <f>Financing!B20</f>
        <v>0</v>
      </c>
      <c r="D14" s="76">
        <f>Financing!C20</f>
        <v>0.15896421450000003</v>
      </c>
      <c r="E14" s="76">
        <f>Financing!D20</f>
        <v>3.2269502613600007</v>
      </c>
      <c r="F14" s="76">
        <f>Financing!E20</f>
        <v>6.235723885293002</v>
      </c>
      <c r="G14" s="76">
        <f>Financing!F20</f>
        <v>5.750886913233002</v>
      </c>
      <c r="H14" s="76">
        <f>Financing!G20</f>
        <v>5.266049941173001</v>
      </c>
      <c r="I14" s="76">
        <f>Financing!H20</f>
        <v>4.7812129691130005</v>
      </c>
      <c r="J14" s="76">
        <f>Financing!I20</f>
        <v>4.296375997053</v>
      </c>
      <c r="K14" s="76">
        <f>Financing!J20</f>
        <v>3.8115390249929995</v>
      </c>
      <c r="L14" s="76">
        <f>Financing!K20</f>
        <v>3.3267020529329994</v>
      </c>
      <c r="M14" s="76">
        <f>Financing!L20</f>
        <v>2.8418650808729993</v>
      </c>
      <c r="N14" s="73"/>
      <c r="O14" s="56" t="s">
        <v>54</v>
      </c>
      <c r="P14" s="76">
        <f>Financing!M20</f>
        <v>2.357028108812999</v>
      </c>
      <c r="Q14" s="76">
        <f>Financing!N20</f>
        <v>1.8721911367529986</v>
      </c>
      <c r="R14" s="76">
        <f>Financing!O20</f>
        <v>1.3873541646929985</v>
      </c>
      <c r="S14" s="76">
        <f>Financing!P20</f>
        <v>0</v>
      </c>
      <c r="T14" s="76">
        <f>Financing!Q20</f>
        <v>0</v>
      </c>
      <c r="U14" s="76">
        <f>Financing!R20</f>
        <v>0</v>
      </c>
      <c r="V14" s="76">
        <f>Financing!S20</f>
        <v>0</v>
      </c>
      <c r="W14" s="76">
        <f>Financing!T20</f>
        <v>0</v>
      </c>
      <c r="X14" s="76">
        <f>Financing!R20</f>
        <v>0</v>
      </c>
    </row>
    <row r="15" spans="1:24" s="18" customFormat="1" ht="13.5" outlineLevel="1" thickBot="1">
      <c r="A15" s="88" t="s">
        <v>36</v>
      </c>
      <c r="B15" s="101"/>
      <c r="C15" s="101">
        <f>'Long-term financing'!H31</f>
        <v>0</v>
      </c>
      <c r="D15" s="101">
        <f>'Long-term financing'!I31</f>
        <v>0</v>
      </c>
      <c r="E15" s="101">
        <f>'Long-term financing'!J31</f>
        <v>6.829524362666668</v>
      </c>
      <c r="F15" s="101">
        <f>'Long-term financing'!K31</f>
        <v>6.829524362666668</v>
      </c>
      <c r="G15" s="101">
        <f>'Long-term financing'!L31</f>
        <v>6.829524362666668</v>
      </c>
      <c r="H15" s="101">
        <f>'Long-term financing'!M31</f>
        <v>6.829524362666668</v>
      </c>
      <c r="I15" s="101">
        <f>'Long-term financing'!N31</f>
        <v>6.829524362666668</v>
      </c>
      <c r="J15" s="101">
        <f>'Long-term financing'!O31</f>
        <v>6.829524362666668</v>
      </c>
      <c r="K15" s="101">
        <f>'Long-term financing'!P31</f>
        <v>6.829524362666668</v>
      </c>
      <c r="L15" s="101">
        <f>'Long-term financing'!Q31</f>
        <v>6.829524362666668</v>
      </c>
      <c r="M15" s="101">
        <f>'Long-term financing'!R31</f>
        <v>6.829524362666668</v>
      </c>
      <c r="N15" s="77"/>
      <c r="O15" s="88" t="s">
        <v>36</v>
      </c>
      <c r="P15" s="101">
        <f>'Long-term financing'!S31</f>
        <v>6.829524362666668</v>
      </c>
      <c r="Q15" s="101">
        <f>'Long-term financing'!V31</f>
        <v>6.829524362666668</v>
      </c>
      <c r="R15" s="101">
        <f>'Long-term financing'!W31</f>
        <v>6.829524362666668</v>
      </c>
      <c r="S15" s="101">
        <f>'Long-term financing'!X31</f>
        <v>6.829524362666668</v>
      </c>
      <c r="T15" s="101">
        <f>'Long-term financing'!Y31</f>
        <v>6.829524362666668</v>
      </c>
      <c r="U15" s="101">
        <f>'Long-term financing'!Z31</f>
        <v>6.829524362666668</v>
      </c>
      <c r="V15" s="101">
        <f>'Long-term financing'!AA31</f>
        <v>6.829524362666668</v>
      </c>
      <c r="W15" s="101">
        <f>'Long-term financing'!AB31</f>
        <v>6.829524362666668</v>
      </c>
      <c r="X15" s="101">
        <f>'Long-term financing'!AC31</f>
        <v>6.829524362666668</v>
      </c>
    </row>
    <row r="16" spans="1:24" s="30" customFormat="1" ht="13.5" thickBot="1">
      <c r="A16" s="94" t="s">
        <v>17</v>
      </c>
      <c r="B16" s="37"/>
      <c r="C16" s="95">
        <f aca="true" t="shared" si="7" ref="C16:Q16">SUM(C13:C15)</f>
        <v>0.4078</v>
      </c>
      <c r="D16" s="95">
        <f t="shared" si="7"/>
        <v>0.5667642145</v>
      </c>
      <c r="E16" s="95">
        <f t="shared" si="7"/>
        <v>10.184274624026669</v>
      </c>
      <c r="F16" s="95">
        <f>SUM(F13:F15)</f>
        <v>13.56844324795967</v>
      </c>
      <c r="G16" s="95">
        <f t="shared" si="7"/>
        <v>13.19991177589967</v>
      </c>
      <c r="H16" s="95">
        <f t="shared" si="7"/>
        <v>12.741492278839669</v>
      </c>
      <c r="I16" s="95">
        <f t="shared" si="7"/>
        <v>13.59539365552967</v>
      </c>
      <c r="J16" s="95">
        <f t="shared" si="7"/>
        <v>13.139681949657168</v>
      </c>
      <c r="K16" s="95">
        <f t="shared" si="7"/>
        <v>12.685426507094043</v>
      </c>
      <c r="L16" s="95">
        <f t="shared" si="7"/>
        <v>12.232700141005761</v>
      </c>
      <c r="M16" s="95">
        <f t="shared" si="7"/>
        <v>11.781579305216066</v>
      </c>
      <c r="N16" s="79"/>
      <c r="O16" s="94" t="s">
        <v>17</v>
      </c>
      <c r="P16" s="95">
        <f t="shared" si="7"/>
        <v>11.332144276239886</v>
      </c>
      <c r="Q16" s="95">
        <f t="shared" si="7"/>
        <v>10.884479344417898</v>
      </c>
      <c r="R16" s="95">
        <f aca="true" t="shared" si="8" ref="R16:X16">SUM(R13:R15)</f>
        <v>10.438673014607808</v>
      </c>
      <c r="S16" s="95">
        <f t="shared" si="8"/>
        <v>9.092301024277216</v>
      </c>
      <c r="T16" s="95">
        <f t="shared" si="8"/>
        <v>9.135332307357743</v>
      </c>
      <c r="U16" s="95">
        <f t="shared" si="8"/>
        <v>6.829524362666668</v>
      </c>
      <c r="V16" s="95">
        <f t="shared" si="8"/>
        <v>6.829524362666668</v>
      </c>
      <c r="W16" s="95">
        <f t="shared" si="8"/>
        <v>6.829524362666668</v>
      </c>
      <c r="X16" s="96">
        <f t="shared" si="8"/>
        <v>6.829524362666668</v>
      </c>
    </row>
    <row r="17" spans="1:15" s="30" customFormat="1" ht="13.5" thickBot="1">
      <c r="A17" s="104"/>
      <c r="C17" s="78"/>
      <c r="D17" s="79"/>
      <c r="M17" s="159"/>
      <c r="O17" s="104"/>
    </row>
    <row r="18" spans="1:24" s="30" customFormat="1" ht="13.5" thickBot="1">
      <c r="A18" s="94" t="s">
        <v>18</v>
      </c>
      <c r="B18" s="37"/>
      <c r="C18" s="95">
        <f aca="true" t="shared" si="9" ref="C18:Q18">C12-C16</f>
        <v>-0.4078</v>
      </c>
      <c r="D18" s="95">
        <f t="shared" si="9"/>
        <v>-0.5667642145</v>
      </c>
      <c r="E18" s="95">
        <f>E12-E16</f>
        <v>-1.1178232740266711</v>
      </c>
      <c r="F18" s="95">
        <f t="shared" si="9"/>
        <v>3.4603822000403284</v>
      </c>
      <c r="G18" s="95">
        <f t="shared" si="9"/>
        <v>4.472239368100327</v>
      </c>
      <c r="H18" s="95">
        <f t="shared" si="9"/>
        <v>4.9306588651603285</v>
      </c>
      <c r="I18" s="95">
        <f t="shared" si="9"/>
        <v>4.076757488470328</v>
      </c>
      <c r="J18" s="95">
        <f t="shared" si="9"/>
        <v>3.3447750503428306</v>
      </c>
      <c r="K18" s="95">
        <f t="shared" si="9"/>
        <v>3.799030492905956</v>
      </c>
      <c r="L18" s="95">
        <f t="shared" si="9"/>
        <v>4.251756858994238</v>
      </c>
      <c r="M18" s="95">
        <f t="shared" si="9"/>
        <v>4.702877694783933</v>
      </c>
      <c r="N18" s="79"/>
      <c r="O18" s="94" t="s">
        <v>18</v>
      </c>
      <c r="P18" s="95">
        <f t="shared" si="9"/>
        <v>5.152312723760113</v>
      </c>
      <c r="Q18" s="95">
        <f t="shared" si="9"/>
        <v>5.5999776555821015</v>
      </c>
      <c r="R18" s="95">
        <f aca="true" t="shared" si="10" ref="R18:X18">R12-R16</f>
        <v>6.045783985392191</v>
      </c>
      <c r="S18" s="95">
        <f t="shared" si="10"/>
        <v>7.392155975722783</v>
      </c>
      <c r="T18" s="95">
        <f t="shared" si="10"/>
        <v>7.349124692642256</v>
      </c>
      <c r="U18" s="95">
        <f t="shared" si="10"/>
        <v>9.654932637333332</v>
      </c>
      <c r="V18" s="95">
        <f t="shared" si="10"/>
        <v>9.654932637333332</v>
      </c>
      <c r="W18" s="95">
        <f t="shared" si="10"/>
        <v>9.654932637333332</v>
      </c>
      <c r="X18" s="96">
        <f t="shared" si="10"/>
        <v>9.654932637333332</v>
      </c>
    </row>
    <row r="19" spans="1:24" s="30" customFormat="1" ht="12.75" customHeight="1" outlineLevel="1">
      <c r="A19" s="97" t="s">
        <v>19</v>
      </c>
      <c r="B19" s="97"/>
      <c r="C19" s="98">
        <v>19</v>
      </c>
      <c r="D19" s="98">
        <v>18</v>
      </c>
      <c r="E19" s="98">
        <v>18</v>
      </c>
      <c r="F19" s="98">
        <v>18</v>
      </c>
      <c r="G19" s="98">
        <v>18</v>
      </c>
      <c r="H19" s="98">
        <v>18</v>
      </c>
      <c r="I19" s="98">
        <v>18</v>
      </c>
      <c r="J19" s="98">
        <v>18</v>
      </c>
      <c r="K19" s="98">
        <v>18</v>
      </c>
      <c r="L19" s="98">
        <v>18</v>
      </c>
      <c r="M19" s="98">
        <v>18</v>
      </c>
      <c r="N19" s="79"/>
      <c r="O19" s="97" t="s">
        <v>19</v>
      </c>
      <c r="P19" s="98">
        <v>18</v>
      </c>
      <c r="Q19" s="98">
        <v>18</v>
      </c>
      <c r="R19" s="98">
        <v>18</v>
      </c>
      <c r="S19" s="98">
        <v>18</v>
      </c>
      <c r="T19" s="98">
        <v>18</v>
      </c>
      <c r="U19" s="98">
        <v>18</v>
      </c>
      <c r="V19" s="98">
        <v>18</v>
      </c>
      <c r="W19" s="98">
        <v>18</v>
      </c>
      <c r="X19" s="98">
        <v>18</v>
      </c>
    </row>
    <row r="20" spans="1:24" s="30" customFormat="1" ht="12.75" customHeight="1" outlineLevel="1">
      <c r="A20" s="34" t="s">
        <v>20</v>
      </c>
      <c r="B20" s="34"/>
      <c r="C20" s="80"/>
      <c r="D20" s="80"/>
      <c r="E20" s="80"/>
      <c r="F20" s="80"/>
      <c r="G20" s="80">
        <f>G18*G19%</f>
        <v>0.8050030862580588</v>
      </c>
      <c r="H20" s="80">
        <f aca="true" t="shared" si="11" ref="H20:M20">H18*H19%</f>
        <v>0.887518595728859</v>
      </c>
      <c r="I20" s="80">
        <f t="shared" si="11"/>
        <v>0.733816347924659</v>
      </c>
      <c r="J20" s="80">
        <f t="shared" si="11"/>
        <v>0.6020595090617095</v>
      </c>
      <c r="K20" s="80">
        <f t="shared" si="11"/>
        <v>0.6838254887230721</v>
      </c>
      <c r="L20" s="80">
        <f t="shared" si="11"/>
        <v>0.7653162346189628</v>
      </c>
      <c r="M20" s="80">
        <f t="shared" si="11"/>
        <v>0.8465179850611079</v>
      </c>
      <c r="N20" s="79"/>
      <c r="O20" s="34" t="s">
        <v>20</v>
      </c>
      <c r="P20" s="80">
        <f aca="true" t="shared" si="12" ref="P20:X20">P18*P19%</f>
        <v>0.9274162902768204</v>
      </c>
      <c r="Q20" s="80">
        <f t="shared" si="12"/>
        <v>1.0079959780047782</v>
      </c>
      <c r="R20" s="80">
        <f t="shared" si="12"/>
        <v>1.0882411173705944</v>
      </c>
      <c r="S20" s="80">
        <f t="shared" si="12"/>
        <v>1.330588075630101</v>
      </c>
      <c r="T20" s="80">
        <f t="shared" si="12"/>
        <v>1.322842444675606</v>
      </c>
      <c r="U20" s="80">
        <f t="shared" si="12"/>
        <v>1.7378878747199995</v>
      </c>
      <c r="V20" s="80">
        <f t="shared" si="12"/>
        <v>1.7378878747199995</v>
      </c>
      <c r="W20" s="80">
        <f t="shared" si="12"/>
        <v>1.7378878747199995</v>
      </c>
      <c r="X20" s="80">
        <f t="shared" si="12"/>
        <v>1.7378878747199995</v>
      </c>
    </row>
    <row r="21" spans="1:24" s="30" customFormat="1" ht="13.5" thickBot="1">
      <c r="A21" s="99" t="s">
        <v>22</v>
      </c>
      <c r="B21" s="99"/>
      <c r="C21" s="100">
        <f>C18</f>
        <v>-0.4078</v>
      </c>
      <c r="D21" s="100">
        <f>D18</f>
        <v>-0.5667642145</v>
      </c>
      <c r="E21" s="100">
        <f aca="true" t="shared" si="13" ref="E21:M21">E18-E20</f>
        <v>-1.1178232740266711</v>
      </c>
      <c r="F21" s="100">
        <f t="shared" si="13"/>
        <v>3.4603822000403284</v>
      </c>
      <c r="G21" s="100">
        <f t="shared" si="13"/>
        <v>3.6672362818422686</v>
      </c>
      <c r="H21" s="100">
        <f t="shared" si="13"/>
        <v>4.043140269431469</v>
      </c>
      <c r="I21" s="100">
        <f t="shared" si="13"/>
        <v>3.342941140545669</v>
      </c>
      <c r="J21" s="100">
        <f t="shared" si="13"/>
        <v>2.7427155412811213</v>
      </c>
      <c r="K21" s="100">
        <f t="shared" si="13"/>
        <v>3.115205004182884</v>
      </c>
      <c r="L21" s="100">
        <f t="shared" si="13"/>
        <v>3.486440624375275</v>
      </c>
      <c r="M21" s="100">
        <f t="shared" si="13"/>
        <v>3.856359709722825</v>
      </c>
      <c r="N21" s="79"/>
      <c r="O21" s="99" t="s">
        <v>22</v>
      </c>
      <c r="P21" s="100">
        <f aca="true" t="shared" si="14" ref="P21:X21">P18-P20</f>
        <v>4.224896433483293</v>
      </c>
      <c r="Q21" s="100">
        <f t="shared" si="14"/>
        <v>4.591981677577323</v>
      </c>
      <c r="R21" s="100">
        <f t="shared" si="14"/>
        <v>4.957542868021597</v>
      </c>
      <c r="S21" s="100">
        <f t="shared" si="14"/>
        <v>6.061567900092682</v>
      </c>
      <c r="T21" s="100">
        <f t="shared" si="14"/>
        <v>6.02628224796665</v>
      </c>
      <c r="U21" s="100">
        <f t="shared" si="14"/>
        <v>7.917044762613332</v>
      </c>
      <c r="V21" s="100">
        <f t="shared" si="14"/>
        <v>7.917044762613332</v>
      </c>
      <c r="W21" s="100">
        <f t="shared" si="14"/>
        <v>7.917044762613332</v>
      </c>
      <c r="X21" s="100">
        <f t="shared" si="14"/>
        <v>7.917044762613332</v>
      </c>
    </row>
    <row r="22" spans="1:24" s="30" customFormat="1" ht="13.5" thickBot="1">
      <c r="A22" s="94" t="s">
        <v>23</v>
      </c>
      <c r="B22" s="37"/>
      <c r="C22" s="95">
        <f>C21</f>
        <v>-0.4078</v>
      </c>
      <c r="D22" s="95">
        <f>C22+D21</f>
        <v>-0.9745642145</v>
      </c>
      <c r="E22" s="95">
        <f>D22+E21</f>
        <v>-2.092387488526671</v>
      </c>
      <c r="F22" s="95">
        <f aca="true" t="shared" si="15" ref="F22:Q22">E22+F21</f>
        <v>1.3679947115136573</v>
      </c>
      <c r="G22" s="95">
        <f t="shared" si="15"/>
        <v>5.035230993355926</v>
      </c>
      <c r="H22" s="95">
        <f t="shared" si="15"/>
        <v>9.078371262787396</v>
      </c>
      <c r="I22" s="95">
        <f t="shared" si="15"/>
        <v>12.421312403333065</v>
      </c>
      <c r="J22" s="95">
        <f t="shared" si="15"/>
        <v>15.164027944614187</v>
      </c>
      <c r="K22" s="95">
        <f t="shared" si="15"/>
        <v>18.27923294879707</v>
      </c>
      <c r="L22" s="95">
        <f t="shared" si="15"/>
        <v>21.765673573172343</v>
      </c>
      <c r="M22" s="95">
        <f t="shared" si="15"/>
        <v>25.622033282895167</v>
      </c>
      <c r="N22" s="79"/>
      <c r="O22" s="94" t="s">
        <v>23</v>
      </c>
      <c r="P22" s="95">
        <f>M22+P21</f>
        <v>29.84692971637846</v>
      </c>
      <c r="Q22" s="95">
        <f t="shared" si="15"/>
        <v>34.438911393955784</v>
      </c>
      <c r="R22" s="95">
        <f aca="true" t="shared" si="16" ref="R22:X22">Q22+R21</f>
        <v>39.39645426197738</v>
      </c>
      <c r="S22" s="95">
        <f>R22+S21</f>
        <v>45.458022162070066</v>
      </c>
      <c r="T22" s="95">
        <f t="shared" si="16"/>
        <v>51.484304410036714</v>
      </c>
      <c r="U22" s="95">
        <f t="shared" si="16"/>
        <v>59.40134917265004</v>
      </c>
      <c r="V22" s="95">
        <f t="shared" si="16"/>
        <v>67.31839393526337</v>
      </c>
      <c r="W22" s="95">
        <f t="shared" si="16"/>
        <v>75.2354386978767</v>
      </c>
      <c r="X22" s="96">
        <f t="shared" si="16"/>
        <v>83.15248346049003</v>
      </c>
    </row>
    <row r="23" spans="1:24" s="28" customFormat="1" ht="12.75">
      <c r="A23" s="28" t="s">
        <v>24</v>
      </c>
      <c r="B23" s="30"/>
      <c r="C23" s="78"/>
      <c r="D23" s="30"/>
      <c r="E23" s="30"/>
      <c r="F23" s="30"/>
      <c r="G23" s="30"/>
      <c r="H23" s="30"/>
      <c r="I23" s="30"/>
      <c r="J23" s="30"/>
      <c r="K23" s="30"/>
      <c r="L23" s="30"/>
      <c r="M23" s="159"/>
      <c r="N23" s="30"/>
      <c r="O23" s="28" t="s">
        <v>24</v>
      </c>
      <c r="P23" s="30"/>
      <c r="Q23" s="30"/>
      <c r="R23" s="30"/>
      <c r="S23" s="30"/>
      <c r="T23" s="30"/>
      <c r="U23" s="30"/>
      <c r="V23" s="30"/>
      <c r="W23" s="30"/>
      <c r="X23" s="30"/>
    </row>
    <row r="24" spans="1:24" s="14" customFormat="1" ht="12.75" outlineLevel="1">
      <c r="A24" s="87" t="s">
        <v>26</v>
      </c>
      <c r="B24" s="75">
        <v>30</v>
      </c>
      <c r="C24" s="74">
        <v>0</v>
      </c>
      <c r="D24" s="56">
        <f>D10*$B$24/30*1.18</f>
        <v>0</v>
      </c>
      <c r="E24" s="56">
        <f>E10*$B$24/30*1.18</f>
        <v>0.8915343827499996</v>
      </c>
      <c r="F24" s="56">
        <f aca="true" t="shared" si="17" ref="F24:Q24">F10*$B$24/30*1.18</f>
        <v>1.6209716049999996</v>
      </c>
      <c r="G24" s="56">
        <f t="shared" si="17"/>
        <v>1.6209716049999996</v>
      </c>
      <c r="H24" s="56">
        <f t="shared" si="17"/>
        <v>1.6209716049999996</v>
      </c>
      <c r="I24" s="56">
        <f t="shared" si="17"/>
        <v>1.6209716049999996</v>
      </c>
      <c r="J24" s="56">
        <f t="shared" si="17"/>
        <v>1.6209716049999996</v>
      </c>
      <c r="K24" s="56">
        <f t="shared" si="17"/>
        <v>1.6209716049999996</v>
      </c>
      <c r="L24" s="56">
        <f t="shared" si="17"/>
        <v>1.6209716049999996</v>
      </c>
      <c r="M24" s="56">
        <f t="shared" si="17"/>
        <v>1.6209716049999996</v>
      </c>
      <c r="N24" s="18"/>
      <c r="O24" s="87" t="s">
        <v>26</v>
      </c>
      <c r="P24" s="56">
        <f t="shared" si="17"/>
        <v>1.6209716049999996</v>
      </c>
      <c r="Q24" s="56">
        <f t="shared" si="17"/>
        <v>1.6209716049999996</v>
      </c>
      <c r="R24" s="56">
        <f aca="true" t="shared" si="18" ref="R24:X24">R10*$B$24/30*1.18</f>
        <v>1.6209716049999996</v>
      </c>
      <c r="S24" s="56">
        <f t="shared" si="18"/>
        <v>1.6209716049999996</v>
      </c>
      <c r="T24" s="56">
        <f t="shared" si="18"/>
        <v>1.6209716049999996</v>
      </c>
      <c r="U24" s="56">
        <f t="shared" si="18"/>
        <v>1.6209716049999996</v>
      </c>
      <c r="V24" s="56">
        <f t="shared" si="18"/>
        <v>1.6209716049999996</v>
      </c>
      <c r="W24" s="56">
        <f t="shared" si="18"/>
        <v>1.6209716049999996</v>
      </c>
      <c r="X24" s="56">
        <f t="shared" si="18"/>
        <v>1.6209716049999996</v>
      </c>
    </row>
    <row r="25" spans="1:24" s="14" customFormat="1" ht="12.75" outlineLevel="1">
      <c r="A25" s="87" t="s">
        <v>25</v>
      </c>
      <c r="B25" s="74"/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7"/>
      <c r="O25" s="87" t="s">
        <v>25</v>
      </c>
      <c r="P25" s="74">
        <v>1</v>
      </c>
      <c r="Q25" s="74">
        <v>2</v>
      </c>
      <c r="R25" s="74">
        <v>3</v>
      </c>
      <c r="S25" s="74">
        <v>4</v>
      </c>
      <c r="T25" s="74">
        <v>5</v>
      </c>
      <c r="U25" s="74">
        <v>6</v>
      </c>
      <c r="V25" s="74">
        <v>7</v>
      </c>
      <c r="W25" s="74">
        <v>8</v>
      </c>
      <c r="X25" s="74">
        <v>9</v>
      </c>
    </row>
    <row r="26" spans="1:24" s="28" customFormat="1" ht="12.75" outlineLevel="1">
      <c r="A26" s="29" t="s">
        <v>32</v>
      </c>
      <c r="B26" s="34"/>
      <c r="C26" s="80">
        <f>SUM(C24:C25)</f>
        <v>0</v>
      </c>
      <c r="D26" s="80">
        <f aca="true" t="shared" si="19" ref="D26:Q26">SUM(D24:D25)</f>
        <v>0</v>
      </c>
      <c r="E26" s="80">
        <f t="shared" si="19"/>
        <v>0.8915343827499996</v>
      </c>
      <c r="F26" s="80">
        <f t="shared" si="19"/>
        <v>1.6209716049999996</v>
      </c>
      <c r="G26" s="80">
        <f t="shared" si="19"/>
        <v>1.6209716049999996</v>
      </c>
      <c r="H26" s="80">
        <f t="shared" si="19"/>
        <v>1.6209716049999996</v>
      </c>
      <c r="I26" s="80">
        <f t="shared" si="19"/>
        <v>1.6209716049999996</v>
      </c>
      <c r="J26" s="80">
        <f t="shared" si="19"/>
        <v>1.6209716049999996</v>
      </c>
      <c r="K26" s="80">
        <f t="shared" si="19"/>
        <v>1.6209716049999996</v>
      </c>
      <c r="L26" s="80">
        <f t="shared" si="19"/>
        <v>1.6209716049999996</v>
      </c>
      <c r="M26" s="80">
        <f t="shared" si="19"/>
        <v>1.6209716049999996</v>
      </c>
      <c r="N26" s="79"/>
      <c r="O26" s="29" t="s">
        <v>32</v>
      </c>
      <c r="P26" s="80">
        <f t="shared" si="19"/>
        <v>2.6209716049999994</v>
      </c>
      <c r="Q26" s="80">
        <f t="shared" si="19"/>
        <v>3.6209716049999994</v>
      </c>
      <c r="R26" s="80">
        <f aca="true" t="shared" si="20" ref="R26:X26">SUM(R24:R25)</f>
        <v>4.620971604999999</v>
      </c>
      <c r="S26" s="80">
        <f t="shared" si="20"/>
        <v>5.620971604999999</v>
      </c>
      <c r="T26" s="80">
        <f t="shared" si="20"/>
        <v>6.620971604999999</v>
      </c>
      <c r="U26" s="80">
        <f t="shared" si="20"/>
        <v>7.620971604999999</v>
      </c>
      <c r="V26" s="80">
        <f t="shared" si="20"/>
        <v>8.620971605</v>
      </c>
      <c r="W26" s="80">
        <f t="shared" si="20"/>
        <v>9.620971605</v>
      </c>
      <c r="X26" s="80">
        <f t="shared" si="20"/>
        <v>10.620971605</v>
      </c>
    </row>
    <row r="27" spans="1:24" s="28" customFormat="1" ht="12.75" outlineLevel="1">
      <c r="A27" s="29" t="s">
        <v>33</v>
      </c>
      <c r="B27" s="34"/>
      <c r="C27" s="34">
        <f>C8</f>
        <v>0.4</v>
      </c>
      <c r="D27" s="34">
        <f>D8</f>
        <v>10.492966000000001</v>
      </c>
      <c r="E27" s="34">
        <f aca="true" t="shared" si="21" ref="E27:Q27">E8</f>
        <v>96.01334107733332</v>
      </c>
      <c r="F27" s="34">
        <f>F8</f>
        <v>89.18381671466665</v>
      </c>
      <c r="G27" s="34">
        <f t="shared" si="21"/>
        <v>82.35429235199997</v>
      </c>
      <c r="H27" s="34">
        <f t="shared" si="21"/>
        <v>75.5247679893333</v>
      </c>
      <c r="I27" s="34">
        <f t="shared" si="21"/>
        <v>68.69524362666662</v>
      </c>
      <c r="J27" s="34">
        <f t="shared" si="21"/>
        <v>61.86571926399996</v>
      </c>
      <c r="K27" s="34">
        <f t="shared" si="21"/>
        <v>55.03619490133329</v>
      </c>
      <c r="L27" s="34">
        <f t="shared" si="21"/>
        <v>48.20667053866662</v>
      </c>
      <c r="M27" s="34">
        <f t="shared" si="21"/>
        <v>41.377146175999954</v>
      </c>
      <c r="N27" s="30"/>
      <c r="O27" s="29" t="s">
        <v>33</v>
      </c>
      <c r="P27" s="34">
        <f t="shared" si="21"/>
        <v>34.547621813333286</v>
      </c>
      <c r="Q27" s="34">
        <f t="shared" si="21"/>
        <v>27.71809745066662</v>
      </c>
      <c r="R27" s="34">
        <f aca="true" t="shared" si="22" ref="R27:X27">R8</f>
        <v>20.88857308799995</v>
      </c>
      <c r="S27" s="34">
        <f t="shared" si="22"/>
        <v>14.059048725333284</v>
      </c>
      <c r="T27" s="34">
        <f t="shared" si="22"/>
        <v>7.2295243626666155</v>
      </c>
      <c r="U27" s="34">
        <f t="shared" si="22"/>
        <v>0.39999999999994706</v>
      </c>
      <c r="V27" s="34">
        <f t="shared" si="22"/>
        <v>-6.429524362666721</v>
      </c>
      <c r="W27" s="34">
        <f t="shared" si="22"/>
        <v>-13.25904872533339</v>
      </c>
      <c r="X27" s="34">
        <f t="shared" si="22"/>
        <v>-20.088573088000057</v>
      </c>
    </row>
    <row r="28" spans="1:24" s="28" customFormat="1" ht="12.75">
      <c r="A28" s="87" t="s">
        <v>39</v>
      </c>
      <c r="B28" s="34"/>
      <c r="C28" s="80">
        <f aca="true" t="shared" si="23" ref="C28:Q28">C26+C27</f>
        <v>0.4</v>
      </c>
      <c r="D28" s="80">
        <f>D26+D27</f>
        <v>10.492966000000001</v>
      </c>
      <c r="E28" s="80">
        <f>E26+E27</f>
        <v>96.90487546008332</v>
      </c>
      <c r="F28" s="80">
        <f t="shared" si="23"/>
        <v>90.80478831966664</v>
      </c>
      <c r="G28" s="80">
        <f t="shared" si="23"/>
        <v>83.97526395699997</v>
      </c>
      <c r="H28" s="80">
        <f t="shared" si="23"/>
        <v>77.14573959433329</v>
      </c>
      <c r="I28" s="80">
        <f t="shared" si="23"/>
        <v>70.31621523166662</v>
      </c>
      <c r="J28" s="80">
        <f t="shared" si="23"/>
        <v>63.48669086899996</v>
      </c>
      <c r="K28" s="80">
        <f t="shared" si="23"/>
        <v>56.65716650633329</v>
      </c>
      <c r="L28" s="80">
        <f t="shared" si="23"/>
        <v>49.82764214366662</v>
      </c>
      <c r="M28" s="80">
        <f t="shared" si="23"/>
        <v>42.998117780999955</v>
      </c>
      <c r="N28" s="79"/>
      <c r="O28" s="87" t="s">
        <v>39</v>
      </c>
      <c r="P28" s="80">
        <f t="shared" si="23"/>
        <v>37.16859341833329</v>
      </c>
      <c r="Q28" s="80">
        <f t="shared" si="23"/>
        <v>31.33906905566662</v>
      </c>
      <c r="R28" s="80">
        <f aca="true" t="shared" si="24" ref="R28:X28">R26+R27</f>
        <v>25.509544692999953</v>
      </c>
      <c r="S28" s="80">
        <f t="shared" si="24"/>
        <v>19.680020330333285</v>
      </c>
      <c r="T28" s="80">
        <f t="shared" si="24"/>
        <v>13.850495967666614</v>
      </c>
      <c r="U28" s="80">
        <f t="shared" si="24"/>
        <v>8.020971604999946</v>
      </c>
      <c r="V28" s="80">
        <f t="shared" si="24"/>
        <v>2.191447242333278</v>
      </c>
      <c r="W28" s="80">
        <f t="shared" si="24"/>
        <v>-3.6380771203333904</v>
      </c>
      <c r="X28" s="80">
        <f t="shared" si="24"/>
        <v>-9.467601483000058</v>
      </c>
    </row>
    <row r="29" spans="1:24" s="28" customFormat="1" ht="12.75" outlineLevel="1">
      <c r="A29" s="87" t="s">
        <v>34</v>
      </c>
      <c r="B29" s="82"/>
      <c r="C29" s="82">
        <f>C41</f>
        <v>0.5</v>
      </c>
      <c r="D29" s="80">
        <f aca="true" t="shared" si="25" ref="D29:M29">C32+D41</f>
        <v>1.5922</v>
      </c>
      <c r="E29" s="80">
        <f t="shared" si="25"/>
        <v>10.025435785500001</v>
      </c>
      <c r="F29" s="80">
        <f t="shared" si="25"/>
        <v>8.90761251147333</v>
      </c>
      <c r="G29" s="80">
        <f t="shared" si="25"/>
        <v>12.367994711513658</v>
      </c>
      <c r="H29" s="80">
        <f t="shared" si="25"/>
        <v>16.035230993355928</v>
      </c>
      <c r="I29" s="80">
        <f t="shared" si="25"/>
        <v>20.078371262787396</v>
      </c>
      <c r="J29" s="80">
        <f t="shared" si="25"/>
        <v>23.421312403333065</v>
      </c>
      <c r="K29" s="80">
        <f t="shared" si="25"/>
        <v>26.164027944614187</v>
      </c>
      <c r="L29" s="80">
        <f t="shared" si="25"/>
        <v>29.27923294879707</v>
      </c>
      <c r="M29" s="80">
        <f t="shared" si="25"/>
        <v>32.76567357317234</v>
      </c>
      <c r="N29" s="79"/>
      <c r="O29" s="87" t="s">
        <v>34</v>
      </c>
      <c r="P29" s="80">
        <f>M32</f>
        <v>36.62203328289517</v>
      </c>
      <c r="Q29" s="80">
        <f>P32</f>
        <v>40.84692971637846</v>
      </c>
      <c r="R29" s="80">
        <f aca="true" t="shared" si="26" ref="R29:X29">Q32</f>
        <v>45.438911393955784</v>
      </c>
      <c r="S29" s="80">
        <f>R32</f>
        <v>50.39645426197738</v>
      </c>
      <c r="T29" s="80">
        <f t="shared" si="26"/>
        <v>56.458022162070066</v>
      </c>
      <c r="U29" s="80">
        <f t="shared" si="26"/>
        <v>62.484304410036714</v>
      </c>
      <c r="V29" s="80">
        <f t="shared" si="26"/>
        <v>70.40134917265004</v>
      </c>
      <c r="W29" s="80">
        <f t="shared" si="26"/>
        <v>78.31839393526337</v>
      </c>
      <c r="X29" s="80">
        <f t="shared" si="26"/>
        <v>86.2354386978767</v>
      </c>
    </row>
    <row r="30" spans="1:24" s="14" customFormat="1" ht="12.75" outlineLevel="1">
      <c r="A30" s="87" t="s">
        <v>23</v>
      </c>
      <c r="B30" s="56"/>
      <c r="C30" s="74">
        <f>C21</f>
        <v>-0.4078</v>
      </c>
      <c r="D30" s="74">
        <f aca="true" t="shared" si="27" ref="D30:Q30">D21</f>
        <v>-0.5667642145</v>
      </c>
      <c r="E30" s="74">
        <f>E21</f>
        <v>-1.1178232740266711</v>
      </c>
      <c r="F30" s="74">
        <f t="shared" si="27"/>
        <v>3.4603822000403284</v>
      </c>
      <c r="G30" s="74">
        <f t="shared" si="27"/>
        <v>3.6672362818422686</v>
      </c>
      <c r="H30" s="74">
        <f t="shared" si="27"/>
        <v>4.043140269431469</v>
      </c>
      <c r="I30" s="74">
        <f t="shared" si="27"/>
        <v>3.342941140545669</v>
      </c>
      <c r="J30" s="74">
        <f t="shared" si="27"/>
        <v>2.7427155412811213</v>
      </c>
      <c r="K30" s="74">
        <f t="shared" si="27"/>
        <v>3.115205004182884</v>
      </c>
      <c r="L30" s="74">
        <f t="shared" si="27"/>
        <v>3.486440624375275</v>
      </c>
      <c r="M30" s="74">
        <f t="shared" si="27"/>
        <v>3.856359709722825</v>
      </c>
      <c r="N30" s="77"/>
      <c r="O30" s="87" t="s">
        <v>23</v>
      </c>
      <c r="P30" s="74">
        <f t="shared" si="27"/>
        <v>4.224896433483293</v>
      </c>
      <c r="Q30" s="74">
        <f t="shared" si="27"/>
        <v>4.591981677577323</v>
      </c>
      <c r="R30" s="74">
        <f aca="true" t="shared" si="28" ref="R30:X30">R21</f>
        <v>4.957542868021597</v>
      </c>
      <c r="S30" s="74">
        <f t="shared" si="28"/>
        <v>6.061567900092682</v>
      </c>
      <c r="T30" s="74">
        <f t="shared" si="28"/>
        <v>6.02628224796665</v>
      </c>
      <c r="U30" s="74">
        <f t="shared" si="28"/>
        <v>7.917044762613332</v>
      </c>
      <c r="V30" s="74">
        <f t="shared" si="28"/>
        <v>7.917044762613332</v>
      </c>
      <c r="W30" s="74">
        <f t="shared" si="28"/>
        <v>7.917044762613332</v>
      </c>
      <c r="X30" s="74">
        <f t="shared" si="28"/>
        <v>7.917044762613332</v>
      </c>
    </row>
    <row r="31" spans="2:24" s="14" customFormat="1" ht="13.5" outlineLevel="1" thickBot="1">
      <c r="B31" s="1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125"/>
      <c r="N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s="28" customFormat="1" ht="13.5" outlineLevel="1" thickBot="1">
      <c r="A32" s="27" t="s">
        <v>34</v>
      </c>
      <c r="B32" s="37">
        <f>SUM(B29:B30)</f>
        <v>0</v>
      </c>
      <c r="C32" s="37">
        <f>SUM(C29:C30)</f>
        <v>0.0922</v>
      </c>
      <c r="D32" s="37">
        <f>SUM(D29:D30)</f>
        <v>1.0254357855</v>
      </c>
      <c r="E32" s="37">
        <f aca="true" t="shared" si="29" ref="E32:J32">SUM(E29:E31)</f>
        <v>8.90761251147333</v>
      </c>
      <c r="F32" s="37">
        <f>SUM(F29:F31)</f>
        <v>12.367994711513658</v>
      </c>
      <c r="G32" s="37">
        <f t="shared" si="29"/>
        <v>16.035230993355928</v>
      </c>
      <c r="H32" s="37">
        <f t="shared" si="29"/>
        <v>20.078371262787396</v>
      </c>
      <c r="I32" s="37">
        <f t="shared" si="29"/>
        <v>23.421312403333065</v>
      </c>
      <c r="J32" s="37">
        <f t="shared" si="29"/>
        <v>26.164027944614187</v>
      </c>
      <c r="K32" s="37">
        <f>SUM(K29:K30)</f>
        <v>29.27923294879707</v>
      </c>
      <c r="L32" s="37">
        <f>SUM(L29:L30)</f>
        <v>32.76567357317234</v>
      </c>
      <c r="M32" s="37">
        <f>SUM(M29:M30)</f>
        <v>36.62203328289517</v>
      </c>
      <c r="N32" s="30"/>
      <c r="O32" s="27" t="s">
        <v>34</v>
      </c>
      <c r="P32" s="37">
        <f>SUM(P29:P30)</f>
        <v>40.84692971637846</v>
      </c>
      <c r="Q32" s="37">
        <f>SUM(Q29:Q30)</f>
        <v>45.438911393955784</v>
      </c>
      <c r="R32" s="37">
        <f aca="true" t="shared" si="30" ref="R32:X32">SUM(R29:R30)</f>
        <v>50.39645426197738</v>
      </c>
      <c r="S32" s="37">
        <f t="shared" si="30"/>
        <v>56.458022162070066</v>
      </c>
      <c r="T32" s="37">
        <f t="shared" si="30"/>
        <v>62.484304410036714</v>
      </c>
      <c r="U32" s="37">
        <f t="shared" si="30"/>
        <v>70.40134917265004</v>
      </c>
      <c r="V32" s="37">
        <f t="shared" si="30"/>
        <v>78.31839393526337</v>
      </c>
      <c r="W32" s="37">
        <f t="shared" si="30"/>
        <v>86.2354386978767</v>
      </c>
      <c r="X32" s="38">
        <f t="shared" si="30"/>
        <v>94.15248346049003</v>
      </c>
    </row>
    <row r="33" spans="1:24" s="14" customFormat="1" ht="12.75" outlineLevel="1">
      <c r="A33" s="106" t="s">
        <v>27</v>
      </c>
      <c r="B33" s="89"/>
      <c r="C33" s="89">
        <f>Financing!B19</f>
        <v>0</v>
      </c>
      <c r="D33" s="89">
        <f>Financing!C19</f>
        <v>9.083669400000002</v>
      </c>
      <c r="E33" s="89">
        <f>Financing!D19</f>
        <v>92.19857889600001</v>
      </c>
      <c r="F33" s="89">
        <f>Financing!E19</f>
        <v>85.27233643800001</v>
      </c>
      <c r="G33" s="89">
        <f>Financing!F19</f>
        <v>78.34609398</v>
      </c>
      <c r="H33" s="89">
        <f>Financing!G19</f>
        <v>71.419851522</v>
      </c>
      <c r="I33" s="89">
        <f>Financing!H19</f>
        <v>64.493609064</v>
      </c>
      <c r="J33" s="89">
        <f>Financing!I19</f>
        <v>57.56736660599999</v>
      </c>
      <c r="K33" s="89">
        <f>Financing!J19</f>
        <v>50.64112414799999</v>
      </c>
      <c r="L33" s="89">
        <f>Financing!K19</f>
        <v>43.714881689999984</v>
      </c>
      <c r="M33" s="89">
        <f>Financing!L19</f>
        <v>36.78863923199998</v>
      </c>
      <c r="N33" s="18"/>
      <c r="O33" s="106" t="s">
        <v>27</v>
      </c>
      <c r="P33" s="89">
        <f>Financing!M19</f>
        <v>29.86239677399998</v>
      </c>
      <c r="Q33" s="89">
        <f>Financing!N19</f>
        <v>22.93615431599998</v>
      </c>
      <c r="R33" s="89">
        <f>Financing!O19</f>
        <v>16.009911857999978</v>
      </c>
      <c r="S33" s="89">
        <f>Financing!P19</f>
        <v>0</v>
      </c>
      <c r="T33" s="89">
        <f>Financing!Q19</f>
        <v>0</v>
      </c>
      <c r="U33" s="89">
        <f>Financing!R19</f>
        <v>0</v>
      </c>
      <c r="V33" s="89">
        <f>Financing!S19</f>
        <v>0</v>
      </c>
      <c r="W33" s="89">
        <f>Financing!T19</f>
        <v>0</v>
      </c>
      <c r="X33" s="89">
        <f>Financing!U19</f>
        <v>0</v>
      </c>
    </row>
    <row r="34" spans="1:24" s="14" customFormat="1" ht="12.75" outlineLevel="1">
      <c r="A34" s="87" t="s">
        <v>28</v>
      </c>
      <c r="B34" s="74"/>
      <c r="C34" s="74"/>
      <c r="D34" s="105">
        <f>D24*0.1525</f>
        <v>0</v>
      </c>
      <c r="E34" s="105">
        <f>E24*0.1525</f>
        <v>0.13595899336937495</v>
      </c>
      <c r="F34" s="105">
        <f aca="true" t="shared" si="31" ref="F34:Q34">F24*0.1525</f>
        <v>0.24719816976249992</v>
      </c>
      <c r="G34" s="105">
        <f t="shared" si="31"/>
        <v>0.24719816976249992</v>
      </c>
      <c r="H34" s="105">
        <f t="shared" si="31"/>
        <v>0.24719816976249992</v>
      </c>
      <c r="I34" s="105">
        <f t="shared" si="31"/>
        <v>0.24719816976249992</v>
      </c>
      <c r="J34" s="105">
        <f t="shared" si="31"/>
        <v>0.24719816976249992</v>
      </c>
      <c r="K34" s="105">
        <f t="shared" si="31"/>
        <v>0.24719816976249992</v>
      </c>
      <c r="L34" s="105">
        <f t="shared" si="31"/>
        <v>0.24719816976249992</v>
      </c>
      <c r="M34" s="105">
        <f t="shared" si="31"/>
        <v>0.24719816976249992</v>
      </c>
      <c r="N34" s="83"/>
      <c r="O34" s="87" t="s">
        <v>28</v>
      </c>
      <c r="P34" s="105">
        <f t="shared" si="31"/>
        <v>0.24719816976249992</v>
      </c>
      <c r="Q34" s="105">
        <f t="shared" si="31"/>
        <v>0.24719816976249992</v>
      </c>
      <c r="R34" s="105">
        <f aca="true" t="shared" si="32" ref="R34:X34">R24*0.1525</f>
        <v>0.24719816976249992</v>
      </c>
      <c r="S34" s="105">
        <f t="shared" si="32"/>
        <v>0.24719816976249992</v>
      </c>
      <c r="T34" s="105">
        <f t="shared" si="32"/>
        <v>0.24719816976249992</v>
      </c>
      <c r="U34" s="105">
        <f t="shared" si="32"/>
        <v>0.24719816976249992</v>
      </c>
      <c r="V34" s="105">
        <f t="shared" si="32"/>
        <v>0.24719816976249992</v>
      </c>
      <c r="W34" s="105">
        <f t="shared" si="32"/>
        <v>0.24719816976249992</v>
      </c>
      <c r="X34" s="105">
        <f t="shared" si="32"/>
        <v>0.24719816976249992</v>
      </c>
    </row>
    <row r="35" spans="1:24" s="57" customFormat="1" ht="13.5" outlineLevel="1" thickBot="1">
      <c r="A35" s="107" t="s">
        <v>29</v>
      </c>
      <c r="B35" s="101"/>
      <c r="C35" s="101">
        <f>C28-C32-C33-C34</f>
        <v>0.3078</v>
      </c>
      <c r="D35" s="101">
        <f>D28-D32-D33-D34</f>
        <v>0.3838608145000002</v>
      </c>
      <c r="E35" s="101">
        <f aca="true" t="shared" si="33" ref="E35:X35">E28-E32-E33-E34</f>
        <v>-4.337274940759404</v>
      </c>
      <c r="F35" s="101">
        <f t="shared" si="33"/>
        <v>-7.082740999609529</v>
      </c>
      <c r="G35" s="101">
        <f t="shared" si="33"/>
        <v>-10.653259186118463</v>
      </c>
      <c r="H35" s="101">
        <f t="shared" si="33"/>
        <v>-14.599681360216609</v>
      </c>
      <c r="I35" s="101">
        <f t="shared" si="33"/>
        <v>-17.84590440542894</v>
      </c>
      <c r="J35" s="101">
        <f t="shared" si="33"/>
        <v>-20.491901851376724</v>
      </c>
      <c r="K35" s="101">
        <f t="shared" si="33"/>
        <v>-23.510388760226267</v>
      </c>
      <c r="L35" s="101">
        <f t="shared" si="33"/>
        <v>-26.900111289268203</v>
      </c>
      <c r="M35" s="101">
        <f t="shared" si="33"/>
        <v>-30.65975290365769</v>
      </c>
      <c r="N35" s="77"/>
      <c r="O35" s="107" t="s">
        <v>29</v>
      </c>
      <c r="P35" s="101">
        <f t="shared" si="33"/>
        <v>-33.787931241807655</v>
      </c>
      <c r="Q35" s="101">
        <f t="shared" si="33"/>
        <v>-37.28319482405164</v>
      </c>
      <c r="R35" s="101">
        <f t="shared" si="33"/>
        <v>-41.14401959673991</v>
      </c>
      <c r="S35" s="101">
        <f t="shared" si="33"/>
        <v>-37.02520000149928</v>
      </c>
      <c r="T35" s="101">
        <f t="shared" si="33"/>
        <v>-48.881006612132595</v>
      </c>
      <c r="U35" s="101">
        <f t="shared" si="33"/>
        <v>-62.6275757374126</v>
      </c>
      <c r="V35" s="101">
        <f t="shared" si="33"/>
        <v>-76.37414486269259</v>
      </c>
      <c r="W35" s="101">
        <f t="shared" si="33"/>
        <v>-90.1207139879726</v>
      </c>
      <c r="X35" s="101">
        <f t="shared" si="33"/>
        <v>-103.86728311325258</v>
      </c>
    </row>
    <row r="36" spans="1:24" s="84" customFormat="1" ht="13.5" outlineLevel="1" thickBot="1">
      <c r="A36" s="108" t="s">
        <v>39</v>
      </c>
      <c r="B36" s="103"/>
      <c r="C36" s="103">
        <f>SUM(C32:C35)</f>
        <v>0.4</v>
      </c>
      <c r="D36" s="103">
        <f>SUM(D32:D35)</f>
        <v>10.492966000000003</v>
      </c>
      <c r="E36" s="103">
        <f>SUM(E32:E35)</f>
        <v>96.90487546008332</v>
      </c>
      <c r="F36" s="103">
        <f aca="true" t="shared" si="34" ref="F36:Q36">SUM(F32:F35)</f>
        <v>90.80478831966664</v>
      </c>
      <c r="G36" s="103">
        <f t="shared" si="34"/>
        <v>83.97526395699997</v>
      </c>
      <c r="H36" s="103">
        <f t="shared" si="34"/>
        <v>77.14573959433329</v>
      </c>
      <c r="I36" s="103">
        <f t="shared" si="34"/>
        <v>70.31621523166662</v>
      </c>
      <c r="J36" s="103">
        <f t="shared" si="34"/>
        <v>63.48669086899996</v>
      </c>
      <c r="K36" s="103">
        <f t="shared" si="34"/>
        <v>56.6571665063333</v>
      </c>
      <c r="L36" s="103">
        <f t="shared" si="34"/>
        <v>49.82764214366663</v>
      </c>
      <c r="M36" s="103">
        <f t="shared" si="34"/>
        <v>42.99811778099995</v>
      </c>
      <c r="N36" s="78"/>
      <c r="O36" s="108" t="s">
        <v>39</v>
      </c>
      <c r="P36" s="103">
        <f t="shared" si="34"/>
        <v>37.16859341833329</v>
      </c>
      <c r="Q36" s="103">
        <f t="shared" si="34"/>
        <v>31.33906905566662</v>
      </c>
      <c r="R36" s="103">
        <f aca="true" t="shared" si="35" ref="R36:X36">SUM(R32:R35)</f>
        <v>25.509544692999953</v>
      </c>
      <c r="S36" s="103">
        <f t="shared" si="35"/>
        <v>19.680020330333285</v>
      </c>
      <c r="T36" s="103">
        <f t="shared" si="35"/>
        <v>13.850495967666618</v>
      </c>
      <c r="U36" s="103">
        <f t="shared" si="35"/>
        <v>8.020971604999943</v>
      </c>
      <c r="V36" s="103">
        <f t="shared" si="35"/>
        <v>2.1914472423332825</v>
      </c>
      <c r="W36" s="103">
        <f t="shared" si="35"/>
        <v>-3.638077120333392</v>
      </c>
      <c r="X36" s="109">
        <f t="shared" si="35"/>
        <v>-9.467601483000053</v>
      </c>
    </row>
    <row r="37" spans="1:15" s="14" customFormat="1" ht="12.75" outlineLevel="1">
      <c r="A37" s="28" t="s">
        <v>35</v>
      </c>
      <c r="B37" s="69"/>
      <c r="C37" s="70"/>
      <c r="D37" s="71"/>
      <c r="M37" s="126"/>
      <c r="O37" s="28" t="s">
        <v>35</v>
      </c>
    </row>
    <row r="38" spans="1:24" s="18" customFormat="1" ht="12.75">
      <c r="A38" s="58" t="s">
        <v>18</v>
      </c>
      <c r="B38" s="56"/>
      <c r="C38" s="56">
        <f>C21</f>
        <v>-0.4078</v>
      </c>
      <c r="D38" s="56">
        <f>D21</f>
        <v>-0.5667642145</v>
      </c>
      <c r="E38" s="56">
        <f>E21</f>
        <v>-1.1178232740266711</v>
      </c>
      <c r="F38" s="56">
        <f>F21</f>
        <v>3.4603822000403284</v>
      </c>
      <c r="G38" s="56">
        <f>G21</f>
        <v>3.6672362818422686</v>
      </c>
      <c r="H38" s="56">
        <f aca="true" t="shared" si="36" ref="H38:Q38">H21</f>
        <v>4.043140269431469</v>
      </c>
      <c r="I38" s="56">
        <f t="shared" si="36"/>
        <v>3.342941140545669</v>
      </c>
      <c r="J38" s="56">
        <f t="shared" si="36"/>
        <v>2.7427155412811213</v>
      </c>
      <c r="K38" s="56">
        <f t="shared" si="36"/>
        <v>3.115205004182884</v>
      </c>
      <c r="L38" s="56">
        <f t="shared" si="36"/>
        <v>3.486440624375275</v>
      </c>
      <c r="M38" s="56">
        <f t="shared" si="36"/>
        <v>3.856359709722825</v>
      </c>
      <c r="O38" s="58" t="s">
        <v>18</v>
      </c>
      <c r="P38" s="56">
        <f t="shared" si="36"/>
        <v>4.224896433483293</v>
      </c>
      <c r="Q38" s="56">
        <f t="shared" si="36"/>
        <v>4.591981677577323</v>
      </c>
      <c r="R38" s="56">
        <f aca="true" t="shared" si="37" ref="R38:X38">R21</f>
        <v>4.957542868021597</v>
      </c>
      <c r="S38" s="56">
        <f t="shared" si="37"/>
        <v>6.061567900092682</v>
      </c>
      <c r="T38" s="56">
        <f t="shared" si="37"/>
        <v>6.02628224796665</v>
      </c>
      <c r="U38" s="56">
        <f t="shared" si="37"/>
        <v>7.917044762613332</v>
      </c>
      <c r="V38" s="56">
        <f t="shared" si="37"/>
        <v>7.917044762613332</v>
      </c>
      <c r="W38" s="56">
        <f t="shared" si="37"/>
        <v>7.917044762613332</v>
      </c>
      <c r="X38" s="56">
        <f t="shared" si="37"/>
        <v>7.917044762613332</v>
      </c>
    </row>
    <row r="39" spans="1:24" s="14" customFormat="1" ht="12.75">
      <c r="A39" s="110" t="s">
        <v>36</v>
      </c>
      <c r="B39" s="86"/>
      <c r="C39" s="56">
        <f>'Long-term financing'!H31</f>
        <v>0</v>
      </c>
      <c r="D39" s="56">
        <f>'Long-term financing'!I31</f>
        <v>0</v>
      </c>
      <c r="E39" s="56">
        <f>'Long-term financing'!J31</f>
        <v>6.829524362666668</v>
      </c>
      <c r="F39" s="56">
        <f>'Long-term financing'!K31</f>
        <v>6.829524362666668</v>
      </c>
      <c r="G39" s="56">
        <f>'Long-term financing'!L31</f>
        <v>6.829524362666668</v>
      </c>
      <c r="H39" s="56">
        <f>'Long-term financing'!M31</f>
        <v>6.829524362666668</v>
      </c>
      <c r="I39" s="56">
        <f>'Long-term financing'!N31</f>
        <v>6.829524362666668</v>
      </c>
      <c r="J39" s="56">
        <f>'Long-term financing'!O31</f>
        <v>6.829524362666668</v>
      </c>
      <c r="K39" s="56">
        <f>'Long-term financing'!P31</f>
        <v>6.829524362666668</v>
      </c>
      <c r="L39" s="56">
        <f>'Long-term financing'!Q31</f>
        <v>6.829524362666668</v>
      </c>
      <c r="M39" s="56">
        <f>'Long-term financing'!R31</f>
        <v>6.829524362666668</v>
      </c>
      <c r="N39" s="18"/>
      <c r="O39" s="110" t="s">
        <v>36</v>
      </c>
      <c r="P39" s="56">
        <f>'Long-term financing'!S31</f>
        <v>6.829524362666668</v>
      </c>
      <c r="Q39" s="56">
        <f>'Long-term financing'!V31</f>
        <v>6.829524362666668</v>
      </c>
      <c r="R39" s="56">
        <f>'Long-term financing'!W31</f>
        <v>6.829524362666668</v>
      </c>
      <c r="S39" s="56">
        <f>'Long-term financing'!X31</f>
        <v>6.829524362666668</v>
      </c>
      <c r="T39" s="56">
        <f>'Long-term financing'!Y31</f>
        <v>6.829524362666668</v>
      </c>
      <c r="U39" s="56">
        <f>'Long-term financing'!Z31</f>
        <v>6.829524362666668</v>
      </c>
      <c r="V39" s="56">
        <f>'Long-term financing'!AA31</f>
        <v>6.829524362666668</v>
      </c>
      <c r="W39" s="56">
        <f>'Long-term financing'!AB31</f>
        <v>6.829524362666668</v>
      </c>
      <c r="X39" s="56">
        <f>'Long-term financing'!AC31</f>
        <v>6.829524362666668</v>
      </c>
    </row>
    <row r="40" spans="1:24" s="14" customFormat="1" ht="12.75">
      <c r="A40" s="110" t="str">
        <f>A34</f>
        <v>Other liability</v>
      </c>
      <c r="B40" s="86"/>
      <c r="C40" s="74"/>
      <c r="D40" s="105">
        <f>D34-C40</f>
        <v>0</v>
      </c>
      <c r="E40" s="105">
        <f>E34-D34</f>
        <v>0.13595899336937495</v>
      </c>
      <c r="F40" s="105">
        <f aca="true" t="shared" si="38" ref="F40:Q40">F34-E34</f>
        <v>0.11123917639312497</v>
      </c>
      <c r="G40" s="105">
        <f t="shared" si="38"/>
        <v>0</v>
      </c>
      <c r="H40" s="105">
        <f t="shared" si="38"/>
        <v>0</v>
      </c>
      <c r="I40" s="105">
        <f t="shared" si="38"/>
        <v>0</v>
      </c>
      <c r="J40" s="105">
        <f t="shared" si="38"/>
        <v>0</v>
      </c>
      <c r="K40" s="105">
        <f t="shared" si="38"/>
        <v>0</v>
      </c>
      <c r="L40" s="105">
        <f t="shared" si="38"/>
        <v>0</v>
      </c>
      <c r="M40" s="105">
        <f t="shared" si="38"/>
        <v>0</v>
      </c>
      <c r="N40" s="83"/>
      <c r="O40" s="110" t="str">
        <f>O34</f>
        <v>Other liability</v>
      </c>
      <c r="P40" s="105">
        <f>P34-M34</f>
        <v>0</v>
      </c>
      <c r="Q40" s="105">
        <f t="shared" si="38"/>
        <v>0</v>
      </c>
      <c r="R40" s="105">
        <f aca="true" t="shared" si="39" ref="R40:X40">R34-Q34</f>
        <v>0</v>
      </c>
      <c r="S40" s="105">
        <f>S34-R34</f>
        <v>0</v>
      </c>
      <c r="T40" s="105">
        <f t="shared" si="39"/>
        <v>0</v>
      </c>
      <c r="U40" s="105">
        <f t="shared" si="39"/>
        <v>0</v>
      </c>
      <c r="V40" s="105">
        <f t="shared" si="39"/>
        <v>0</v>
      </c>
      <c r="W40" s="105">
        <f t="shared" si="39"/>
        <v>0</v>
      </c>
      <c r="X40" s="105">
        <f t="shared" si="39"/>
        <v>0</v>
      </c>
    </row>
    <row r="41" spans="1:24" s="14" customFormat="1" ht="12.75">
      <c r="A41" s="110" t="s">
        <v>51</v>
      </c>
      <c r="B41" s="86"/>
      <c r="C41" s="74">
        <f>Financing!B24</f>
        <v>0.5</v>
      </c>
      <c r="D41" s="74">
        <f>Financing!C24</f>
        <v>1.5</v>
      </c>
      <c r="E41" s="74">
        <f>Financing!D24</f>
        <v>9</v>
      </c>
      <c r="F41" s="74">
        <f>Financing!E24</f>
        <v>0</v>
      </c>
      <c r="G41" s="74">
        <f>Financing!F24</f>
        <v>0</v>
      </c>
      <c r="H41" s="74">
        <f>Financing!G24</f>
        <v>0</v>
      </c>
      <c r="I41" s="74">
        <f>Financing!H24</f>
        <v>0</v>
      </c>
      <c r="J41" s="74">
        <f>Financing!I24</f>
        <v>0</v>
      </c>
      <c r="K41" s="74">
        <f>Financing!J24</f>
        <v>0</v>
      </c>
      <c r="L41" s="74">
        <f>Financing!K24</f>
        <v>0</v>
      </c>
      <c r="M41" s="74">
        <f>Financing!L24</f>
        <v>0</v>
      </c>
      <c r="N41" s="77"/>
      <c r="O41" s="110" t="s">
        <v>51</v>
      </c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31" s="14" customFormat="1" ht="12.75">
      <c r="A42" s="110" t="s">
        <v>37</v>
      </c>
      <c r="B42" s="87"/>
      <c r="C42" s="85">
        <f>Financing!B15</f>
        <v>0</v>
      </c>
      <c r="D42" s="85">
        <f>Financing!C15</f>
        <v>9.083669400000002</v>
      </c>
      <c r="E42" s="85">
        <f>Financing!D15</f>
        <v>83.11490949600001</v>
      </c>
      <c r="F42" s="85">
        <f>Financing!E15</f>
        <v>0</v>
      </c>
      <c r="G42" s="85">
        <f>Financing!F15</f>
        <v>0</v>
      </c>
      <c r="H42" s="85">
        <f>Financing!G15</f>
        <v>0</v>
      </c>
      <c r="I42" s="85">
        <f>Financing!H15</f>
        <v>0</v>
      </c>
      <c r="J42" s="85">
        <f>Financing!I15</f>
        <v>0</v>
      </c>
      <c r="K42" s="85">
        <f>Financing!J15</f>
        <v>0</v>
      </c>
      <c r="L42" s="85">
        <f>Financing!K15</f>
        <v>0</v>
      </c>
      <c r="M42" s="85">
        <f>Financing!L15</f>
        <v>0</v>
      </c>
      <c r="N42" s="70"/>
      <c r="O42" s="110" t="s">
        <v>37</v>
      </c>
      <c r="P42" s="85">
        <f>Financing!M15</f>
        <v>0</v>
      </c>
      <c r="Q42" s="85">
        <f>Financing!N15</f>
        <v>0</v>
      </c>
      <c r="R42" s="85">
        <f>Financing!O15</f>
        <v>0</v>
      </c>
      <c r="S42" s="85">
        <f>Financing!P15</f>
        <v>0</v>
      </c>
      <c r="T42" s="85">
        <f>Financing!Q15</f>
        <v>0</v>
      </c>
      <c r="U42" s="85">
        <f>Financing!R15</f>
        <v>0</v>
      </c>
      <c r="V42" s="85">
        <f>Financing!S15</f>
        <v>0</v>
      </c>
      <c r="W42" s="85">
        <f>Financing!T15</f>
        <v>0</v>
      </c>
      <c r="X42" s="85">
        <f>Financing!U15</f>
        <v>0</v>
      </c>
      <c r="Y42" s="70"/>
      <c r="Z42" s="70"/>
      <c r="AA42" s="70"/>
      <c r="AB42" s="70"/>
      <c r="AC42" s="70"/>
      <c r="AD42" s="70"/>
      <c r="AE42" s="70"/>
    </row>
    <row r="43" spans="1:24" s="14" customFormat="1" ht="12.75">
      <c r="A43" s="85" t="s">
        <v>38</v>
      </c>
      <c r="B43" s="86"/>
      <c r="C43" s="74">
        <f aca="true" t="shared" si="40" ref="C43:Q43">SUM(C38:C42)</f>
        <v>0.0922</v>
      </c>
      <c r="D43" s="74">
        <f>SUM(D38:D42)</f>
        <v>10.0169051855</v>
      </c>
      <c r="E43" s="74">
        <f>SUM(E38:E42)</f>
        <v>97.96256957800938</v>
      </c>
      <c r="F43" s="74">
        <f>SUM(F38:F42)</f>
        <v>10.401145739100121</v>
      </c>
      <c r="G43" s="74">
        <f t="shared" si="40"/>
        <v>10.496760644508937</v>
      </c>
      <c r="H43" s="74">
        <f t="shared" si="40"/>
        <v>10.872664632098138</v>
      </c>
      <c r="I43" s="74">
        <f t="shared" si="40"/>
        <v>10.172465503212337</v>
      </c>
      <c r="J43" s="74">
        <f t="shared" si="40"/>
        <v>9.57223990394779</v>
      </c>
      <c r="K43" s="74">
        <f t="shared" si="40"/>
        <v>9.944729366849552</v>
      </c>
      <c r="L43" s="74">
        <f t="shared" si="40"/>
        <v>10.315964987041944</v>
      </c>
      <c r="M43" s="74">
        <f t="shared" si="40"/>
        <v>10.685884072389493</v>
      </c>
      <c r="N43" s="77"/>
      <c r="O43" s="85" t="s">
        <v>38</v>
      </c>
      <c r="P43" s="74">
        <f t="shared" si="40"/>
        <v>11.054420796149962</v>
      </c>
      <c r="Q43" s="74">
        <f t="shared" si="40"/>
        <v>11.42150604024399</v>
      </c>
      <c r="R43" s="74">
        <f aca="true" t="shared" si="41" ref="R43:X43">SUM(R38:R42)</f>
        <v>11.787067230688265</v>
      </c>
      <c r="S43" s="74">
        <f t="shared" si="41"/>
        <v>12.89109226275935</v>
      </c>
      <c r="T43" s="74">
        <f t="shared" si="41"/>
        <v>12.85580661063332</v>
      </c>
      <c r="U43" s="74">
        <f t="shared" si="41"/>
        <v>14.74656912528</v>
      </c>
      <c r="V43" s="74">
        <f t="shared" si="41"/>
        <v>14.74656912528</v>
      </c>
      <c r="W43" s="74">
        <f t="shared" si="41"/>
        <v>14.74656912528</v>
      </c>
      <c r="X43" s="74">
        <f t="shared" si="41"/>
        <v>14.74656912528</v>
      </c>
    </row>
    <row r="44" spans="1:24" s="14" customFormat="1" ht="12.75">
      <c r="A44" s="28" t="s">
        <v>52</v>
      </c>
      <c r="B44" s="69"/>
      <c r="C44" s="77"/>
      <c r="D44" s="83"/>
      <c r="E44" s="83"/>
      <c r="F44" s="83"/>
      <c r="G44" s="83"/>
      <c r="H44" s="83"/>
      <c r="I44" s="83"/>
      <c r="J44" s="83"/>
      <c r="K44" s="83"/>
      <c r="L44" s="83"/>
      <c r="M44" s="160"/>
      <c r="N44" s="83"/>
      <c r="O44" s="28" t="s">
        <v>52</v>
      </c>
      <c r="P44" s="83"/>
      <c r="Q44" s="83"/>
      <c r="R44" s="83"/>
      <c r="S44" s="83"/>
      <c r="T44" s="83"/>
      <c r="U44" s="83"/>
      <c r="V44" s="83"/>
      <c r="W44" s="83"/>
      <c r="X44" s="83"/>
    </row>
    <row r="45" spans="1:24" s="14" customFormat="1" ht="12.75" outlineLevel="1">
      <c r="A45" s="110" t="str">
        <f>A27</f>
        <v>Long-term assets</v>
      </c>
      <c r="B45" s="86"/>
      <c r="C45" s="74">
        <f>-'Long-term financing'!H17</f>
        <v>-0.4</v>
      </c>
      <c r="D45" s="74">
        <f>-'Long-term financing'!I17</f>
        <v>-10.092966</v>
      </c>
      <c r="E45" s="74">
        <f>-'Long-term financing'!J17</f>
        <v>-92.34989944</v>
      </c>
      <c r="F45" s="74">
        <f>-'Long-term financing'!K17</f>
        <v>0</v>
      </c>
      <c r="G45" s="74">
        <f>-'Long-term financing'!L17</f>
        <v>0</v>
      </c>
      <c r="H45" s="74">
        <f>-'Long-term financing'!M17</f>
        <v>0</v>
      </c>
      <c r="I45" s="74">
        <f>-'Long-term financing'!N17</f>
        <v>0</v>
      </c>
      <c r="J45" s="74">
        <f>-'Long-term financing'!O17</f>
        <v>0</v>
      </c>
      <c r="K45" s="74">
        <f>-'Long-term financing'!P17</f>
        <v>0</v>
      </c>
      <c r="L45" s="74">
        <f>-'Long-term financing'!Q17</f>
        <v>0</v>
      </c>
      <c r="M45" s="74">
        <f>-'Long-term financing'!R17</f>
        <v>0</v>
      </c>
      <c r="N45" s="77"/>
      <c r="O45" s="110" t="str">
        <f>O27</f>
        <v>Long-term assets</v>
      </c>
      <c r="P45" s="74">
        <f>-'Long-term financing'!S17</f>
        <v>0</v>
      </c>
      <c r="Q45" s="74">
        <f>-'Long-term financing'!V17</f>
        <v>0</v>
      </c>
      <c r="R45" s="74">
        <f>-'Long-term financing'!W17</f>
        <v>0</v>
      </c>
      <c r="S45" s="74">
        <f>-'Long-term financing'!X17</f>
        <v>0</v>
      </c>
      <c r="T45" s="74">
        <f>-'Long-term financing'!Y17</f>
        <v>0</v>
      </c>
      <c r="U45" s="74">
        <f>-'Long-term financing'!Z17</f>
        <v>0</v>
      </c>
      <c r="V45" s="74">
        <f>-'Long-term financing'!AA17</f>
        <v>0</v>
      </c>
      <c r="W45" s="74">
        <f>-'Long-term financing'!AB17</f>
        <v>0</v>
      </c>
      <c r="X45" s="74">
        <f>-'Long-term financing'!AC17</f>
        <v>0</v>
      </c>
    </row>
    <row r="46" spans="1:24" s="14" customFormat="1" ht="12.75" outlineLevel="1">
      <c r="A46" s="110" t="s">
        <v>26</v>
      </c>
      <c r="B46" s="86"/>
      <c r="C46" s="85"/>
      <c r="D46" s="105">
        <f aca="true" t="shared" si="42" ref="D46:Q46">C24-D24</f>
        <v>0</v>
      </c>
      <c r="E46" s="105">
        <f>D24-E24</f>
        <v>-0.8915343827499996</v>
      </c>
      <c r="F46" s="105">
        <f t="shared" si="42"/>
        <v>-0.72943722225</v>
      </c>
      <c r="G46" s="105">
        <f t="shared" si="42"/>
        <v>0</v>
      </c>
      <c r="H46" s="105">
        <f t="shared" si="42"/>
        <v>0</v>
      </c>
      <c r="I46" s="105">
        <f t="shared" si="42"/>
        <v>0</v>
      </c>
      <c r="J46" s="74">
        <f t="shared" si="42"/>
        <v>0</v>
      </c>
      <c r="K46" s="74">
        <f t="shared" si="42"/>
        <v>0</v>
      </c>
      <c r="L46" s="74">
        <f t="shared" si="42"/>
        <v>0</v>
      </c>
      <c r="M46" s="74">
        <f t="shared" si="42"/>
        <v>0</v>
      </c>
      <c r="N46" s="77"/>
      <c r="O46" s="110" t="s">
        <v>26</v>
      </c>
      <c r="P46" s="74">
        <f>M24-P24</f>
        <v>0</v>
      </c>
      <c r="Q46" s="105">
        <f t="shared" si="42"/>
        <v>0</v>
      </c>
      <c r="R46" s="105">
        <f aca="true" t="shared" si="43" ref="R46:X46">Q24-R24</f>
        <v>0</v>
      </c>
      <c r="S46" s="105">
        <f t="shared" si="43"/>
        <v>0</v>
      </c>
      <c r="T46" s="105">
        <f t="shared" si="43"/>
        <v>0</v>
      </c>
      <c r="U46" s="105">
        <f t="shared" si="43"/>
        <v>0</v>
      </c>
      <c r="V46" s="105">
        <f t="shared" si="43"/>
        <v>0</v>
      </c>
      <c r="W46" s="105">
        <f t="shared" si="43"/>
        <v>0</v>
      </c>
      <c r="X46" s="105">
        <f t="shared" si="43"/>
        <v>0</v>
      </c>
    </row>
    <row r="47" spans="1:24" s="14" customFormat="1" ht="13.5" outlineLevel="1" thickBot="1">
      <c r="A47" s="111" t="s">
        <v>41</v>
      </c>
      <c r="B47" s="112"/>
      <c r="C47" s="101">
        <f>-Financing!B18</f>
        <v>0</v>
      </c>
      <c r="D47" s="101">
        <f>-Financing!C18</f>
        <v>0</v>
      </c>
      <c r="E47" s="101">
        <f>-Financing!D18</f>
        <v>0</v>
      </c>
      <c r="F47" s="101">
        <f>-Financing!E18</f>
        <v>-6.926242458000001</v>
      </c>
      <c r="G47" s="101">
        <f>-Financing!F18</f>
        <v>-6.926242458000001</v>
      </c>
      <c r="H47" s="101">
        <f>-Financing!G18</f>
        <v>-6.926242458000001</v>
      </c>
      <c r="I47" s="101">
        <f>-Financing!H18</f>
        <v>-6.926242458000001</v>
      </c>
      <c r="J47" s="101">
        <f>-Financing!I18</f>
        <v>-6.926242458000001</v>
      </c>
      <c r="K47" s="101">
        <f>-Financing!J18</f>
        <v>-6.926242458000001</v>
      </c>
      <c r="L47" s="101">
        <f>-Financing!K18</f>
        <v>-6.926242458000001</v>
      </c>
      <c r="M47" s="101">
        <f>-Financing!L18</f>
        <v>-6.926242458000001</v>
      </c>
      <c r="N47" s="77"/>
      <c r="O47" s="111" t="s">
        <v>41</v>
      </c>
      <c r="P47" s="101">
        <f>-Financing!M18</f>
        <v>-6.926242458000001</v>
      </c>
      <c r="Q47" s="101">
        <f>-Financing!N18</f>
        <v>-6.926242458000001</v>
      </c>
      <c r="R47" s="101">
        <f>-Financing!O18</f>
        <v>-6.926242458000001</v>
      </c>
      <c r="S47" s="101">
        <f>-Financing!P18</f>
        <v>0</v>
      </c>
      <c r="T47" s="101">
        <f>-Financing!Q18</f>
        <v>0</v>
      </c>
      <c r="U47" s="101">
        <f>-Financing!R18</f>
        <v>0</v>
      </c>
      <c r="V47" s="101">
        <f>-Financing!S18</f>
        <v>0</v>
      </c>
      <c r="W47" s="101">
        <f>-Financing!T18</f>
        <v>0</v>
      </c>
      <c r="X47" s="101">
        <f>-Financing!R18</f>
        <v>0</v>
      </c>
    </row>
    <row r="48" spans="1:24" s="14" customFormat="1" ht="13.5" thickBot="1">
      <c r="A48" s="113" t="s">
        <v>53</v>
      </c>
      <c r="B48" s="114"/>
      <c r="C48" s="115">
        <f>SUM(C44:C47)</f>
        <v>-0.4</v>
      </c>
      <c r="D48" s="115">
        <f aca="true" t="shared" si="44" ref="D48:Q48">SUM(D44:D47)</f>
        <v>-10.092966</v>
      </c>
      <c r="E48" s="115">
        <f t="shared" si="44"/>
        <v>-93.24143382275</v>
      </c>
      <c r="F48" s="115">
        <f t="shared" si="44"/>
        <v>-7.6556796802500005</v>
      </c>
      <c r="G48" s="115">
        <f t="shared" si="44"/>
        <v>-6.926242458000001</v>
      </c>
      <c r="H48" s="115">
        <f t="shared" si="44"/>
        <v>-6.926242458000001</v>
      </c>
      <c r="I48" s="115">
        <f t="shared" si="44"/>
        <v>-6.926242458000001</v>
      </c>
      <c r="J48" s="115">
        <f t="shared" si="44"/>
        <v>-6.926242458000001</v>
      </c>
      <c r="K48" s="115">
        <f t="shared" si="44"/>
        <v>-6.926242458000001</v>
      </c>
      <c r="L48" s="115">
        <f t="shared" si="44"/>
        <v>-6.926242458000001</v>
      </c>
      <c r="M48" s="115">
        <f t="shared" si="44"/>
        <v>-6.926242458000001</v>
      </c>
      <c r="N48" s="77"/>
      <c r="O48" s="113" t="s">
        <v>53</v>
      </c>
      <c r="P48" s="115">
        <f t="shared" si="44"/>
        <v>-6.926242458000001</v>
      </c>
      <c r="Q48" s="115">
        <f t="shared" si="44"/>
        <v>-6.926242458000001</v>
      </c>
      <c r="R48" s="115">
        <f aca="true" t="shared" si="45" ref="R48:X48">SUM(R44:R47)</f>
        <v>-6.926242458000001</v>
      </c>
      <c r="S48" s="115">
        <f t="shared" si="45"/>
        <v>0</v>
      </c>
      <c r="T48" s="115">
        <f t="shared" si="45"/>
        <v>0</v>
      </c>
      <c r="U48" s="115">
        <f t="shared" si="45"/>
        <v>0</v>
      </c>
      <c r="V48" s="115">
        <f t="shared" si="45"/>
        <v>0</v>
      </c>
      <c r="W48" s="115">
        <f t="shared" si="45"/>
        <v>0</v>
      </c>
      <c r="X48" s="116">
        <f t="shared" si="45"/>
        <v>0</v>
      </c>
    </row>
    <row r="49" spans="2:24" s="14" customFormat="1" ht="13.5" thickBot="1">
      <c r="B49" s="6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s="28" customFormat="1" ht="12.75">
      <c r="A50" s="117" t="s">
        <v>40</v>
      </c>
      <c r="B50" s="118"/>
      <c r="C50" s="119">
        <f>+C43+C48</f>
        <v>-0.3078</v>
      </c>
      <c r="D50" s="119">
        <f aca="true" t="shared" si="46" ref="D50:Q50">+D43+D48</f>
        <v>-0.07606081449999991</v>
      </c>
      <c r="E50" s="119">
        <f>+E43+E48</f>
        <v>4.7211357552593824</v>
      </c>
      <c r="F50" s="119">
        <f>+F43+F48</f>
        <v>2.7454660588501207</v>
      </c>
      <c r="G50" s="119">
        <f t="shared" si="46"/>
        <v>3.570518186508936</v>
      </c>
      <c r="H50" s="119">
        <f t="shared" si="46"/>
        <v>3.946422174098137</v>
      </c>
      <c r="I50" s="119">
        <f t="shared" si="46"/>
        <v>3.2462230452123357</v>
      </c>
      <c r="J50" s="119">
        <f t="shared" si="46"/>
        <v>2.6459974459477884</v>
      </c>
      <c r="K50" s="119">
        <f t="shared" si="46"/>
        <v>3.0184869088495514</v>
      </c>
      <c r="L50" s="119">
        <f t="shared" si="46"/>
        <v>3.3897225290419435</v>
      </c>
      <c r="M50" s="119">
        <f t="shared" si="46"/>
        <v>3.7596416143894924</v>
      </c>
      <c r="N50" s="78"/>
      <c r="O50" s="117" t="s">
        <v>40</v>
      </c>
      <c r="P50" s="119">
        <f>+P43+P48</f>
        <v>4.1281783381499615</v>
      </c>
      <c r="Q50" s="119">
        <f t="shared" si="46"/>
        <v>4.4952635822439895</v>
      </c>
      <c r="R50" s="119">
        <f aca="true" t="shared" si="47" ref="R50:X50">+R43+R48</f>
        <v>4.8608247726882645</v>
      </c>
      <c r="S50" s="119">
        <f t="shared" si="47"/>
        <v>12.89109226275935</v>
      </c>
      <c r="T50" s="119">
        <f t="shared" si="47"/>
        <v>12.85580661063332</v>
      </c>
      <c r="U50" s="119">
        <f t="shared" si="47"/>
        <v>14.74656912528</v>
      </c>
      <c r="V50" s="119">
        <f t="shared" si="47"/>
        <v>14.74656912528</v>
      </c>
      <c r="W50" s="119">
        <f t="shared" si="47"/>
        <v>14.74656912528</v>
      </c>
      <c r="X50" s="120">
        <f t="shared" si="47"/>
        <v>14.74656912528</v>
      </c>
    </row>
    <row r="51" spans="1:26" s="28" customFormat="1" ht="13.5" thickBot="1">
      <c r="A51" s="81" t="s">
        <v>42</v>
      </c>
      <c r="B51" s="121"/>
      <c r="C51" s="122">
        <f>C50</f>
        <v>-0.3078</v>
      </c>
      <c r="D51" s="122">
        <f>C51+D50</f>
        <v>-0.3838608144999999</v>
      </c>
      <c r="E51" s="122">
        <f aca="true" t="shared" si="48" ref="E51:M51">D51+E50</f>
        <v>4.337274940759382</v>
      </c>
      <c r="F51" s="122">
        <f t="shared" si="48"/>
        <v>7.082740999609503</v>
      </c>
      <c r="G51" s="122">
        <f t="shared" si="48"/>
        <v>10.65325918611844</v>
      </c>
      <c r="H51" s="122">
        <f t="shared" si="48"/>
        <v>14.599681360216577</v>
      </c>
      <c r="I51" s="122">
        <f t="shared" si="48"/>
        <v>17.84590440542891</v>
      </c>
      <c r="J51" s="122">
        <f t="shared" si="48"/>
        <v>20.4919018513767</v>
      </c>
      <c r="K51" s="122">
        <f t="shared" si="48"/>
        <v>23.51038876022625</v>
      </c>
      <c r="L51" s="122">
        <f t="shared" si="48"/>
        <v>26.900111289268192</v>
      </c>
      <c r="M51" s="122">
        <f t="shared" si="48"/>
        <v>30.659752903657683</v>
      </c>
      <c r="N51" s="78"/>
      <c r="O51" s="81" t="s">
        <v>42</v>
      </c>
      <c r="P51" s="122">
        <f>M51+P50</f>
        <v>34.78793124180764</v>
      </c>
      <c r="Q51" s="122">
        <f aca="true" t="shared" si="49" ref="Q51:X51">P51+Q50</f>
        <v>39.283194824051634</v>
      </c>
      <c r="R51" s="122">
        <f t="shared" si="49"/>
        <v>44.144019596739895</v>
      </c>
      <c r="S51" s="122">
        <f t="shared" si="49"/>
        <v>57.035111859499246</v>
      </c>
      <c r="T51" s="122">
        <f t="shared" si="49"/>
        <v>69.89091847013256</v>
      </c>
      <c r="U51" s="122">
        <f t="shared" si="49"/>
        <v>84.63748759541257</v>
      </c>
      <c r="V51" s="122">
        <f t="shared" si="49"/>
        <v>99.38405672069257</v>
      </c>
      <c r="W51" s="122">
        <f t="shared" si="49"/>
        <v>114.13062584597257</v>
      </c>
      <c r="X51" s="123">
        <f t="shared" si="49"/>
        <v>128.87719497125258</v>
      </c>
      <c r="Z51" s="163"/>
    </row>
    <row r="52" spans="2:26" s="14" customFormat="1" ht="12.75">
      <c r="B52" s="69"/>
      <c r="C52" s="70"/>
      <c r="D52" s="70"/>
      <c r="E52" s="70"/>
      <c r="F52" s="70"/>
      <c r="G52" s="70"/>
      <c r="Z52" s="164"/>
    </row>
    <row r="53" spans="2:7" s="14" customFormat="1" ht="12.75">
      <c r="B53" s="69"/>
      <c r="C53" s="70"/>
      <c r="D53" s="70"/>
      <c r="E53" s="70"/>
      <c r="F53" s="70"/>
      <c r="G53" s="70"/>
    </row>
    <row r="54" spans="1:7" s="14" customFormat="1" ht="12.75">
      <c r="A54" s="14" t="s">
        <v>0</v>
      </c>
      <c r="B54" s="72">
        <v>506000</v>
      </c>
      <c r="C54" s="70"/>
      <c r="D54" s="26" t="s">
        <v>7</v>
      </c>
      <c r="E54" s="70"/>
      <c r="F54" s="70"/>
      <c r="G54" s="70"/>
    </row>
    <row r="55" spans="2:25" s="14" customFormat="1" ht="12.7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131">
        <v>17</v>
      </c>
      <c r="N55" s="70"/>
      <c r="O55" s="70"/>
      <c r="P55" s="70"/>
      <c r="Q55" s="70"/>
      <c r="R55" s="70"/>
      <c r="S55" s="70"/>
      <c r="T55" s="70"/>
      <c r="U55" s="70"/>
      <c r="V55" s="70"/>
      <c r="W55" s="70"/>
      <c r="Y55" s="14">
        <v>18</v>
      </c>
    </row>
    <row r="56" spans="4:19" s="14" customFormat="1" ht="12.75">
      <c r="D56" s="71"/>
      <c r="K56" s="73"/>
      <c r="L56" s="73"/>
      <c r="M56" s="73"/>
      <c r="N56" s="73"/>
      <c r="O56" s="73"/>
      <c r="P56" s="73"/>
      <c r="Q56" s="73"/>
      <c r="R56" s="73"/>
      <c r="S56" s="73"/>
    </row>
    <row r="57" spans="1:19" s="14" customFormat="1" ht="12.75">
      <c r="A57" s="12"/>
      <c r="I57" s="161"/>
      <c r="J57" s="161"/>
      <c r="K57" s="161"/>
      <c r="L57" s="73"/>
      <c r="M57" s="73"/>
      <c r="N57" s="73"/>
      <c r="O57" s="73"/>
      <c r="P57" s="73"/>
      <c r="Q57" s="73"/>
      <c r="R57" s="73"/>
      <c r="S57" s="73"/>
    </row>
    <row r="59" spans="1:24" ht="15">
      <c r="A59" s="182" t="s">
        <v>56</v>
      </c>
      <c r="B59" s="178"/>
      <c r="C59" s="178">
        <f>C12-C13</f>
        <v>-0.4078</v>
      </c>
      <c r="D59" s="178">
        <f aca="true" t="shared" si="50" ref="D59:X59">D12-D13</f>
        <v>-0.4078</v>
      </c>
      <c r="E59" s="178">
        <f t="shared" si="50"/>
        <v>8.938651349999997</v>
      </c>
      <c r="F59" s="178">
        <f t="shared" si="50"/>
        <v>16.525630447999998</v>
      </c>
      <c r="G59" s="178">
        <f t="shared" si="50"/>
        <v>17.052650643999996</v>
      </c>
      <c r="H59" s="178">
        <f t="shared" si="50"/>
        <v>17.026233168999998</v>
      </c>
      <c r="I59" s="178">
        <f t="shared" si="50"/>
        <v>15.687494820249997</v>
      </c>
      <c r="J59" s="178">
        <f t="shared" si="50"/>
        <v>14.4706754100625</v>
      </c>
      <c r="K59" s="178">
        <f t="shared" si="50"/>
        <v>14.440093880565623</v>
      </c>
      <c r="L59" s="178">
        <f t="shared" si="50"/>
        <v>14.407983274593905</v>
      </c>
      <c r="M59" s="178">
        <f>M12-M13</f>
        <v>14.374267138323601</v>
      </c>
      <c r="N59" s="166"/>
      <c r="O59" s="182" t="s">
        <v>56</v>
      </c>
      <c r="P59" s="178">
        <f>P12-P13</f>
        <v>14.33886519523978</v>
      </c>
      <c r="Q59" s="178">
        <f t="shared" si="50"/>
        <v>14.30169315500177</v>
      </c>
      <c r="R59" s="178">
        <f t="shared" si="50"/>
        <v>14.262662512751858</v>
      </c>
      <c r="S59" s="178">
        <f t="shared" si="50"/>
        <v>14.22168033838945</v>
      </c>
      <c r="T59" s="178">
        <f t="shared" si="50"/>
        <v>14.178649055308924</v>
      </c>
      <c r="U59" s="178">
        <f t="shared" si="50"/>
        <v>16.484457</v>
      </c>
      <c r="V59" s="178">
        <f t="shared" si="50"/>
        <v>16.484457</v>
      </c>
      <c r="W59" s="178">
        <f t="shared" si="50"/>
        <v>16.484457</v>
      </c>
      <c r="X59" s="178">
        <f t="shared" si="50"/>
        <v>16.484457</v>
      </c>
    </row>
    <row r="60" spans="1:24" ht="15">
      <c r="A60" s="182" t="s">
        <v>55</v>
      </c>
      <c r="B60" s="178"/>
      <c r="C60" s="178">
        <f>C12-C13-C11</f>
        <v>-0.4078</v>
      </c>
      <c r="D60" s="178">
        <f aca="true" t="shared" si="51" ref="D60:M60">D12-D13-D11</f>
        <v>-0.4078</v>
      </c>
      <c r="E60" s="178">
        <f t="shared" si="51"/>
        <v>8.938651349999997</v>
      </c>
      <c r="F60" s="178">
        <f t="shared" si="51"/>
        <v>15.981261999999997</v>
      </c>
      <c r="G60" s="178">
        <f t="shared" si="51"/>
        <v>15.864956499999996</v>
      </c>
      <c r="H60" s="178">
        <f t="shared" si="51"/>
        <v>15.838539024999998</v>
      </c>
      <c r="I60" s="178">
        <f t="shared" si="51"/>
        <v>14.499800676249997</v>
      </c>
      <c r="J60" s="178">
        <f t="shared" si="51"/>
        <v>14.4706754100625</v>
      </c>
      <c r="K60" s="178">
        <f t="shared" si="51"/>
        <v>14.440093880565623</v>
      </c>
      <c r="L60" s="178">
        <f t="shared" si="51"/>
        <v>14.407983274593905</v>
      </c>
      <c r="M60" s="178">
        <f t="shared" si="51"/>
        <v>14.374267138323601</v>
      </c>
      <c r="N60" s="166"/>
      <c r="O60" s="182" t="s">
        <v>55</v>
      </c>
      <c r="P60" s="178">
        <f aca="true" t="shared" si="52" ref="P60:X60">P12-P13-P11</f>
        <v>14.33886519523978</v>
      </c>
      <c r="Q60" s="178">
        <f t="shared" si="52"/>
        <v>14.30169315500177</v>
      </c>
      <c r="R60" s="178">
        <f t="shared" si="52"/>
        <v>14.262662512751858</v>
      </c>
      <c r="S60" s="178">
        <f t="shared" si="52"/>
        <v>14.22168033838945</v>
      </c>
      <c r="T60" s="178">
        <f t="shared" si="52"/>
        <v>14.178649055308924</v>
      </c>
      <c r="U60" s="178">
        <f t="shared" si="52"/>
        <v>16.484457</v>
      </c>
      <c r="V60" s="178">
        <f t="shared" si="52"/>
        <v>16.484457</v>
      </c>
      <c r="W60" s="178">
        <f t="shared" si="52"/>
        <v>16.484457</v>
      </c>
      <c r="X60" s="178">
        <f t="shared" si="52"/>
        <v>16.484457</v>
      </c>
    </row>
    <row r="61" spans="1:24" ht="15">
      <c r="A61" s="202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168"/>
      <c r="O61" s="202"/>
      <c r="P61" s="203"/>
      <c r="Q61" s="203"/>
      <c r="R61" s="203"/>
      <c r="S61" s="203"/>
      <c r="T61" s="203"/>
      <c r="U61" s="203"/>
      <c r="V61" s="203"/>
      <c r="W61" s="203"/>
      <c r="X61" s="203"/>
    </row>
    <row r="62" spans="1:24" ht="15">
      <c r="A62" s="206" t="s">
        <v>58</v>
      </c>
      <c r="B62" s="207"/>
      <c r="C62" s="207">
        <f>C12-C16</f>
        <v>-0.4078</v>
      </c>
      <c r="D62" s="207">
        <f>D12-D16</f>
        <v>-0.5667642145</v>
      </c>
      <c r="E62" s="207">
        <f aca="true" t="shared" si="53" ref="E62:X62">E12-E16</f>
        <v>-1.1178232740266711</v>
      </c>
      <c r="F62" s="207">
        <f t="shared" si="53"/>
        <v>3.4603822000403284</v>
      </c>
      <c r="G62" s="207">
        <f>G12-G16</f>
        <v>4.472239368100327</v>
      </c>
      <c r="H62" s="207">
        <f t="shared" si="53"/>
        <v>4.9306588651603285</v>
      </c>
      <c r="I62" s="207">
        <f t="shared" si="53"/>
        <v>4.076757488470328</v>
      </c>
      <c r="J62" s="207">
        <f t="shared" si="53"/>
        <v>3.3447750503428306</v>
      </c>
      <c r="K62" s="207">
        <f t="shared" si="53"/>
        <v>3.799030492905956</v>
      </c>
      <c r="L62" s="207">
        <f t="shared" si="53"/>
        <v>4.251756858994238</v>
      </c>
      <c r="M62" s="207">
        <f t="shared" si="53"/>
        <v>4.702877694783933</v>
      </c>
      <c r="N62" s="166"/>
      <c r="O62" s="206" t="s">
        <v>58</v>
      </c>
      <c r="P62" s="207">
        <f>P12-P16</f>
        <v>5.152312723760113</v>
      </c>
      <c r="Q62" s="207">
        <f t="shared" si="53"/>
        <v>5.5999776555821015</v>
      </c>
      <c r="R62" s="207">
        <f t="shared" si="53"/>
        <v>6.045783985392191</v>
      </c>
      <c r="S62" s="207">
        <f t="shared" si="53"/>
        <v>7.392155975722783</v>
      </c>
      <c r="T62" s="207">
        <f t="shared" si="53"/>
        <v>7.349124692642256</v>
      </c>
      <c r="U62" s="207">
        <f t="shared" si="53"/>
        <v>9.654932637333332</v>
      </c>
      <c r="V62" s="207">
        <f t="shared" si="53"/>
        <v>9.654932637333332</v>
      </c>
      <c r="W62" s="207">
        <f t="shared" si="53"/>
        <v>9.654932637333332</v>
      </c>
      <c r="X62" s="207">
        <f t="shared" si="53"/>
        <v>9.654932637333332</v>
      </c>
    </row>
    <row r="63" spans="1:24" ht="15">
      <c r="A63" s="183" t="s">
        <v>57</v>
      </c>
      <c r="B63" s="176"/>
      <c r="C63" s="176">
        <f>C12-C16-C11</f>
        <v>-0.4078</v>
      </c>
      <c r="D63" s="176">
        <f aca="true" t="shared" si="54" ref="D63:M63">D12-D16-D11</f>
        <v>-0.5667642145</v>
      </c>
      <c r="E63" s="176">
        <f t="shared" si="54"/>
        <v>-1.1178232740266711</v>
      </c>
      <c r="F63" s="176">
        <f t="shared" si="54"/>
        <v>2.916013752040328</v>
      </c>
      <c r="G63" s="176">
        <f t="shared" si="54"/>
        <v>3.2845452241003272</v>
      </c>
      <c r="H63" s="176">
        <f t="shared" si="54"/>
        <v>3.7429647211603285</v>
      </c>
      <c r="I63" s="176">
        <f t="shared" si="54"/>
        <v>2.889063344470328</v>
      </c>
      <c r="J63" s="176">
        <f t="shared" si="54"/>
        <v>3.3447750503428306</v>
      </c>
      <c r="K63" s="176">
        <f t="shared" si="54"/>
        <v>3.799030492905956</v>
      </c>
      <c r="L63" s="176">
        <f t="shared" si="54"/>
        <v>4.251756858994238</v>
      </c>
      <c r="M63" s="176">
        <f t="shared" si="54"/>
        <v>4.702877694783933</v>
      </c>
      <c r="N63" s="166"/>
      <c r="O63" s="183" t="s">
        <v>57</v>
      </c>
      <c r="P63" s="176">
        <f aca="true" t="shared" si="55" ref="P63:X63">P12-P16-P11</f>
        <v>5.152312723760113</v>
      </c>
      <c r="Q63" s="176">
        <f t="shared" si="55"/>
        <v>5.5999776555821015</v>
      </c>
      <c r="R63" s="176">
        <f t="shared" si="55"/>
        <v>6.045783985392191</v>
      </c>
      <c r="S63" s="176">
        <f t="shared" si="55"/>
        <v>7.392155975722783</v>
      </c>
      <c r="T63" s="176">
        <f t="shared" si="55"/>
        <v>7.349124692642256</v>
      </c>
      <c r="U63" s="176">
        <f t="shared" si="55"/>
        <v>9.654932637333332</v>
      </c>
      <c r="V63" s="176">
        <f t="shared" si="55"/>
        <v>9.654932637333332</v>
      </c>
      <c r="W63" s="176">
        <f t="shared" si="55"/>
        <v>9.654932637333332</v>
      </c>
      <c r="X63" s="176">
        <f t="shared" si="55"/>
        <v>9.654932637333332</v>
      </c>
    </row>
    <row r="64" spans="1:24" ht="15">
      <c r="A64" s="183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66"/>
      <c r="O64" s="183"/>
      <c r="P64" s="176"/>
      <c r="Q64" s="176"/>
      <c r="R64" s="176"/>
      <c r="S64" s="176"/>
      <c r="T64" s="176"/>
      <c r="U64" s="176"/>
      <c r="V64" s="176"/>
      <c r="W64" s="176"/>
      <c r="X64" s="176"/>
    </row>
    <row r="65" spans="1:24" ht="15">
      <c r="A65" s="206" t="s">
        <v>60</v>
      </c>
      <c r="B65" s="208"/>
      <c r="C65" s="208">
        <f>IF(C62&lt;0,0,C62*0.19)</f>
        <v>0</v>
      </c>
      <c r="D65" s="208">
        <f>IF(D62&lt;0,0,D62*0.18)</f>
        <v>0</v>
      </c>
      <c r="E65" s="208">
        <f>IF(E62&lt;0,0,E62*0.18)</f>
        <v>0</v>
      </c>
      <c r="F65" s="208">
        <v>0</v>
      </c>
      <c r="G65" s="208">
        <f aca="true" t="shared" si="56" ref="G65:M65">IF(G62&lt;0,0,G62*0.18)</f>
        <v>0.8050030862580588</v>
      </c>
      <c r="H65" s="208">
        <f t="shared" si="56"/>
        <v>0.887518595728859</v>
      </c>
      <c r="I65" s="208">
        <f t="shared" si="56"/>
        <v>0.733816347924659</v>
      </c>
      <c r="J65" s="208">
        <f t="shared" si="56"/>
        <v>0.6020595090617095</v>
      </c>
      <c r="K65" s="208">
        <f t="shared" si="56"/>
        <v>0.6838254887230721</v>
      </c>
      <c r="L65" s="208">
        <f t="shared" si="56"/>
        <v>0.7653162346189628</v>
      </c>
      <c r="M65" s="208">
        <f t="shared" si="56"/>
        <v>0.8465179850611079</v>
      </c>
      <c r="N65" s="170"/>
      <c r="O65" s="206" t="s">
        <v>60</v>
      </c>
      <c r="P65" s="208">
        <f aca="true" t="shared" si="57" ref="P65:X65">IF(P62&lt;0,0,P62*0.18)</f>
        <v>0.9274162902768204</v>
      </c>
      <c r="Q65" s="208">
        <f t="shared" si="57"/>
        <v>1.0079959780047782</v>
      </c>
      <c r="R65" s="208">
        <f t="shared" si="57"/>
        <v>1.0882411173705944</v>
      </c>
      <c r="S65" s="208">
        <f t="shared" si="57"/>
        <v>1.330588075630101</v>
      </c>
      <c r="T65" s="208">
        <f t="shared" si="57"/>
        <v>1.322842444675606</v>
      </c>
      <c r="U65" s="208">
        <f t="shared" si="57"/>
        <v>1.7378878747199995</v>
      </c>
      <c r="V65" s="208">
        <f t="shared" si="57"/>
        <v>1.7378878747199995</v>
      </c>
      <c r="W65" s="208">
        <f t="shared" si="57"/>
        <v>1.7378878747199995</v>
      </c>
      <c r="X65" s="208">
        <f t="shared" si="57"/>
        <v>1.7378878747199995</v>
      </c>
    </row>
    <row r="66" spans="1:24" ht="15">
      <c r="A66" s="183" t="s">
        <v>59</v>
      </c>
      <c r="B66" s="177"/>
      <c r="C66" s="177">
        <f aca="true" t="shared" si="58" ref="C66:M66">IF(C63&lt;0,0,C63*0.18)</f>
        <v>0</v>
      </c>
      <c r="D66" s="177">
        <f t="shared" si="58"/>
        <v>0</v>
      </c>
      <c r="E66" s="177">
        <f t="shared" si="58"/>
        <v>0</v>
      </c>
      <c r="F66" s="177">
        <f t="shared" si="58"/>
        <v>0.5248824753672591</v>
      </c>
      <c r="G66" s="177">
        <f t="shared" si="58"/>
        <v>0.5912181403380589</v>
      </c>
      <c r="H66" s="177">
        <f t="shared" si="58"/>
        <v>0.6737336498088591</v>
      </c>
      <c r="I66" s="177">
        <f t="shared" si="58"/>
        <v>0.520031402004659</v>
      </c>
      <c r="J66" s="177">
        <f t="shared" si="58"/>
        <v>0.6020595090617095</v>
      </c>
      <c r="K66" s="177">
        <f t="shared" si="58"/>
        <v>0.6838254887230721</v>
      </c>
      <c r="L66" s="177">
        <f t="shared" si="58"/>
        <v>0.7653162346189628</v>
      </c>
      <c r="M66" s="177">
        <f t="shared" si="58"/>
        <v>0.8465179850611079</v>
      </c>
      <c r="N66" s="170"/>
      <c r="O66" s="183" t="s">
        <v>59</v>
      </c>
      <c r="P66" s="177">
        <f aca="true" t="shared" si="59" ref="P66:X66">IF(P63&lt;0,0,P63*0.18)</f>
        <v>0.9274162902768204</v>
      </c>
      <c r="Q66" s="177">
        <f t="shared" si="59"/>
        <v>1.0079959780047782</v>
      </c>
      <c r="R66" s="177">
        <f t="shared" si="59"/>
        <v>1.0882411173705944</v>
      </c>
      <c r="S66" s="177">
        <f t="shared" si="59"/>
        <v>1.330588075630101</v>
      </c>
      <c r="T66" s="177">
        <f t="shared" si="59"/>
        <v>1.322842444675606</v>
      </c>
      <c r="U66" s="177">
        <f t="shared" si="59"/>
        <v>1.7378878747199995</v>
      </c>
      <c r="V66" s="177">
        <f t="shared" si="59"/>
        <v>1.7378878747199995</v>
      </c>
      <c r="W66" s="177">
        <f t="shared" si="59"/>
        <v>1.7378878747199995</v>
      </c>
      <c r="X66" s="177">
        <f t="shared" si="59"/>
        <v>1.7378878747199995</v>
      </c>
    </row>
    <row r="67" spans="1:24" ht="15">
      <c r="A67" s="183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0"/>
      <c r="O67" s="183"/>
      <c r="P67" s="177"/>
      <c r="Q67" s="177"/>
      <c r="R67" s="177"/>
      <c r="S67" s="177"/>
      <c r="T67" s="177"/>
      <c r="U67" s="177"/>
      <c r="V67" s="177"/>
      <c r="W67" s="177"/>
      <c r="X67" s="177"/>
    </row>
    <row r="68" spans="1:24" ht="15">
      <c r="A68" s="206" t="s">
        <v>62</v>
      </c>
      <c r="B68" s="207"/>
      <c r="C68" s="207">
        <f aca="true" t="shared" si="60" ref="C68:M68">C62-C65</f>
        <v>-0.4078</v>
      </c>
      <c r="D68" s="207">
        <f t="shared" si="60"/>
        <v>-0.5667642145</v>
      </c>
      <c r="E68" s="207">
        <f t="shared" si="60"/>
        <v>-1.1178232740266711</v>
      </c>
      <c r="F68" s="207">
        <f t="shared" si="60"/>
        <v>3.4603822000403284</v>
      </c>
      <c r="G68" s="207">
        <f t="shared" si="60"/>
        <v>3.6672362818422686</v>
      </c>
      <c r="H68" s="207">
        <f t="shared" si="60"/>
        <v>4.043140269431469</v>
      </c>
      <c r="I68" s="207">
        <f t="shared" si="60"/>
        <v>3.342941140545669</v>
      </c>
      <c r="J68" s="207">
        <f t="shared" si="60"/>
        <v>2.7427155412811213</v>
      </c>
      <c r="K68" s="207">
        <f t="shared" si="60"/>
        <v>3.115205004182884</v>
      </c>
      <c r="L68" s="207">
        <f t="shared" si="60"/>
        <v>3.486440624375275</v>
      </c>
      <c r="M68" s="207">
        <f t="shared" si="60"/>
        <v>3.856359709722825</v>
      </c>
      <c r="N68" s="166"/>
      <c r="O68" s="206" t="s">
        <v>62</v>
      </c>
      <c r="P68" s="207">
        <f aca="true" t="shared" si="61" ref="P68:X68">P62-P65</f>
        <v>4.224896433483293</v>
      </c>
      <c r="Q68" s="207">
        <f t="shared" si="61"/>
        <v>4.591981677577323</v>
      </c>
      <c r="R68" s="207">
        <f t="shared" si="61"/>
        <v>4.957542868021597</v>
      </c>
      <c r="S68" s="207">
        <f t="shared" si="61"/>
        <v>6.061567900092682</v>
      </c>
      <c r="T68" s="207">
        <f t="shared" si="61"/>
        <v>6.02628224796665</v>
      </c>
      <c r="U68" s="207">
        <f t="shared" si="61"/>
        <v>7.917044762613332</v>
      </c>
      <c r="V68" s="207">
        <f t="shared" si="61"/>
        <v>7.917044762613332</v>
      </c>
      <c r="W68" s="207">
        <f t="shared" si="61"/>
        <v>7.917044762613332</v>
      </c>
      <c r="X68" s="207">
        <f t="shared" si="61"/>
        <v>7.917044762613332</v>
      </c>
    </row>
    <row r="69" spans="1:24" ht="15">
      <c r="A69" s="183" t="s">
        <v>61</v>
      </c>
      <c r="B69" s="176"/>
      <c r="C69" s="176">
        <f aca="true" t="shared" si="62" ref="C69:M69">C63-C66</f>
        <v>-0.4078</v>
      </c>
      <c r="D69" s="176">
        <f t="shared" si="62"/>
        <v>-0.5667642145</v>
      </c>
      <c r="E69" s="176">
        <f t="shared" si="62"/>
        <v>-1.1178232740266711</v>
      </c>
      <c r="F69" s="176">
        <f t="shared" si="62"/>
        <v>2.391131276673069</v>
      </c>
      <c r="G69" s="176">
        <f t="shared" si="62"/>
        <v>2.6933270837622683</v>
      </c>
      <c r="H69" s="176">
        <f t="shared" si="62"/>
        <v>3.0692310713514694</v>
      </c>
      <c r="I69" s="176">
        <f t="shared" si="62"/>
        <v>2.3690319424656687</v>
      </c>
      <c r="J69" s="176">
        <f t="shared" si="62"/>
        <v>2.7427155412811213</v>
      </c>
      <c r="K69" s="176">
        <f t="shared" si="62"/>
        <v>3.115205004182884</v>
      </c>
      <c r="L69" s="176">
        <f t="shared" si="62"/>
        <v>3.486440624375275</v>
      </c>
      <c r="M69" s="176">
        <f t="shared" si="62"/>
        <v>3.856359709722825</v>
      </c>
      <c r="N69" s="166"/>
      <c r="O69" s="183" t="s">
        <v>61</v>
      </c>
      <c r="P69" s="176">
        <f aca="true" t="shared" si="63" ref="P69:X69">P63-P66</f>
        <v>4.224896433483293</v>
      </c>
      <c r="Q69" s="176">
        <f t="shared" si="63"/>
        <v>4.591981677577323</v>
      </c>
      <c r="R69" s="176">
        <f t="shared" si="63"/>
        <v>4.957542868021597</v>
      </c>
      <c r="S69" s="176">
        <f t="shared" si="63"/>
        <v>6.061567900092682</v>
      </c>
      <c r="T69" s="176">
        <f t="shared" si="63"/>
        <v>6.02628224796665</v>
      </c>
      <c r="U69" s="176">
        <f t="shared" si="63"/>
        <v>7.917044762613332</v>
      </c>
      <c r="V69" s="176">
        <f t="shared" si="63"/>
        <v>7.917044762613332</v>
      </c>
      <c r="W69" s="176">
        <f t="shared" si="63"/>
        <v>7.917044762613332</v>
      </c>
      <c r="X69" s="176">
        <f t="shared" si="63"/>
        <v>7.917044762613332</v>
      </c>
    </row>
    <row r="70" spans="1:24" ht="15">
      <c r="A70" s="167"/>
      <c r="B70" s="166"/>
      <c r="C70" s="168"/>
      <c r="D70" s="16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67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">
      <c r="A71" s="209" t="s">
        <v>64</v>
      </c>
      <c r="B71" s="207"/>
      <c r="C71" s="207">
        <f aca="true" t="shared" si="64" ref="C71:M71">C59-C14+C47</f>
        <v>-0.4078</v>
      </c>
      <c r="D71" s="207">
        <f t="shared" si="64"/>
        <v>-0.5667642145</v>
      </c>
      <c r="E71" s="207">
        <f t="shared" si="64"/>
        <v>5.711701088639996</v>
      </c>
      <c r="F71" s="207">
        <f t="shared" si="64"/>
        <v>3.363664104706995</v>
      </c>
      <c r="G71" s="207">
        <f t="shared" si="64"/>
        <v>4.375521272766994</v>
      </c>
      <c r="H71" s="207">
        <f t="shared" si="64"/>
        <v>4.833940769826995</v>
      </c>
      <c r="I71" s="207">
        <f t="shared" si="64"/>
        <v>3.9800393931369946</v>
      </c>
      <c r="J71" s="207">
        <f t="shared" si="64"/>
        <v>3.248056955009499</v>
      </c>
      <c r="K71" s="207">
        <f t="shared" si="64"/>
        <v>3.702312397572623</v>
      </c>
      <c r="L71" s="207">
        <f t="shared" si="64"/>
        <v>4.1550387636609045</v>
      </c>
      <c r="M71" s="207">
        <f t="shared" si="64"/>
        <v>4.606159599450601</v>
      </c>
      <c r="N71" s="166"/>
      <c r="O71" s="209" t="s">
        <v>64</v>
      </c>
      <c r="P71" s="207">
        <f aca="true" t="shared" si="65" ref="P71:X71">P59-P14+P47</f>
        <v>5.05559462842678</v>
      </c>
      <c r="Q71" s="207">
        <f t="shared" si="65"/>
        <v>5.50325956024877</v>
      </c>
      <c r="R71" s="207">
        <f t="shared" si="65"/>
        <v>5.949065890058858</v>
      </c>
      <c r="S71" s="207">
        <f t="shared" si="65"/>
        <v>14.22168033838945</v>
      </c>
      <c r="T71" s="207">
        <f t="shared" si="65"/>
        <v>14.178649055308924</v>
      </c>
      <c r="U71" s="207">
        <f t="shared" si="65"/>
        <v>16.484457</v>
      </c>
      <c r="V71" s="207">
        <f t="shared" si="65"/>
        <v>16.484457</v>
      </c>
      <c r="W71" s="207">
        <f t="shared" si="65"/>
        <v>16.484457</v>
      </c>
      <c r="X71" s="207">
        <f t="shared" si="65"/>
        <v>16.484457</v>
      </c>
    </row>
    <row r="72" spans="1:24" ht="15">
      <c r="A72" s="204" t="s">
        <v>63</v>
      </c>
      <c r="B72" s="176"/>
      <c r="C72" s="176">
        <f aca="true" t="shared" si="66" ref="C72:M72">C60-C14+C47-C11</f>
        <v>-0.4078</v>
      </c>
      <c r="D72" s="176">
        <f t="shared" si="66"/>
        <v>-0.5667642145</v>
      </c>
      <c r="E72" s="176">
        <f t="shared" si="66"/>
        <v>5.711701088639996</v>
      </c>
      <c r="F72" s="176">
        <f t="shared" si="66"/>
        <v>2.2749272087069947</v>
      </c>
      <c r="G72" s="176">
        <f t="shared" si="66"/>
        <v>2.000132984766994</v>
      </c>
      <c r="H72" s="176">
        <f t="shared" si="66"/>
        <v>2.458552481826997</v>
      </c>
      <c r="I72" s="176">
        <f t="shared" si="66"/>
        <v>1.6046511051369965</v>
      </c>
      <c r="J72" s="176">
        <f t="shared" si="66"/>
        <v>3.248056955009499</v>
      </c>
      <c r="K72" s="176">
        <f t="shared" si="66"/>
        <v>3.702312397572623</v>
      </c>
      <c r="L72" s="176">
        <f t="shared" si="66"/>
        <v>4.1550387636609045</v>
      </c>
      <c r="M72" s="176">
        <f t="shared" si="66"/>
        <v>4.606159599450601</v>
      </c>
      <c r="N72" s="166"/>
      <c r="O72" s="204" t="s">
        <v>63</v>
      </c>
      <c r="P72" s="176">
        <f aca="true" t="shared" si="67" ref="P72:X72">P60-P14+P47-P11</f>
        <v>5.05559462842678</v>
      </c>
      <c r="Q72" s="176">
        <f t="shared" si="67"/>
        <v>5.50325956024877</v>
      </c>
      <c r="R72" s="176">
        <f t="shared" si="67"/>
        <v>5.949065890058858</v>
      </c>
      <c r="S72" s="176">
        <f t="shared" si="67"/>
        <v>14.22168033838945</v>
      </c>
      <c r="T72" s="176">
        <f t="shared" si="67"/>
        <v>14.178649055308924</v>
      </c>
      <c r="U72" s="176">
        <f t="shared" si="67"/>
        <v>16.484457</v>
      </c>
      <c r="V72" s="176">
        <f t="shared" si="67"/>
        <v>16.484457</v>
      </c>
      <c r="W72" s="176">
        <f t="shared" si="67"/>
        <v>16.484457</v>
      </c>
      <c r="X72" s="176">
        <f t="shared" si="67"/>
        <v>16.484457</v>
      </c>
    </row>
    <row r="73" spans="1:24" ht="15">
      <c r="A73" s="205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205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ht="15">
      <c r="A74" s="209" t="s">
        <v>65</v>
      </c>
      <c r="B74" s="207"/>
      <c r="C74" s="207">
        <f>C71+B74</f>
        <v>-0.4078</v>
      </c>
      <c r="D74" s="207">
        <f aca="true" t="shared" si="68" ref="D74:M74">D71+C74</f>
        <v>-0.9745642145</v>
      </c>
      <c r="E74" s="207">
        <f t="shared" si="68"/>
        <v>4.737136874139996</v>
      </c>
      <c r="F74" s="207">
        <f t="shared" si="68"/>
        <v>8.10080097884699</v>
      </c>
      <c r="G74" s="207">
        <f t="shared" si="68"/>
        <v>12.476322251613984</v>
      </c>
      <c r="H74" s="207">
        <f t="shared" si="68"/>
        <v>17.31026302144098</v>
      </c>
      <c r="I74" s="207">
        <f t="shared" si="68"/>
        <v>21.290302414577976</v>
      </c>
      <c r="J74" s="207">
        <f t="shared" si="68"/>
        <v>24.538359369587475</v>
      </c>
      <c r="K74" s="207">
        <f t="shared" si="68"/>
        <v>28.240671767160098</v>
      </c>
      <c r="L74" s="207">
        <f t="shared" si="68"/>
        <v>32.395710530821006</v>
      </c>
      <c r="M74" s="207">
        <f t="shared" si="68"/>
        <v>37.001870130271605</v>
      </c>
      <c r="N74" s="168"/>
      <c r="O74" s="209" t="s">
        <v>65</v>
      </c>
      <c r="P74" s="207">
        <f>P71+M74</f>
        <v>42.05746475869839</v>
      </c>
      <c r="Q74" s="207">
        <f aca="true" t="shared" si="69" ref="Q74:X74">Q71+P74</f>
        <v>47.56072431894716</v>
      </c>
      <c r="R74" s="207">
        <f t="shared" si="69"/>
        <v>53.50979020900601</v>
      </c>
      <c r="S74" s="207">
        <f t="shared" si="69"/>
        <v>67.73147054739546</v>
      </c>
      <c r="T74" s="207">
        <f t="shared" si="69"/>
        <v>81.91011960270438</v>
      </c>
      <c r="U74" s="207">
        <f t="shared" si="69"/>
        <v>98.39457660270438</v>
      </c>
      <c r="V74" s="207">
        <f t="shared" si="69"/>
        <v>114.87903360270437</v>
      </c>
      <c r="W74" s="207">
        <f t="shared" si="69"/>
        <v>131.36349060270436</v>
      </c>
      <c r="X74" s="207">
        <f t="shared" si="69"/>
        <v>147.84794760270435</v>
      </c>
    </row>
    <row r="75" spans="1:24" ht="15">
      <c r="A75" s="204" t="s">
        <v>66</v>
      </c>
      <c r="B75" s="176"/>
      <c r="C75" s="203">
        <f>C72+B75</f>
        <v>-0.4078</v>
      </c>
      <c r="D75" s="203">
        <f aca="true" t="shared" si="70" ref="D75:M75">D72+C75</f>
        <v>-0.9745642145</v>
      </c>
      <c r="E75" s="203">
        <f t="shared" si="70"/>
        <v>4.737136874139996</v>
      </c>
      <c r="F75" s="203">
        <f t="shared" si="70"/>
        <v>7.012064082846991</v>
      </c>
      <c r="G75" s="203">
        <f t="shared" si="70"/>
        <v>9.012197067613986</v>
      </c>
      <c r="H75" s="203">
        <f t="shared" si="70"/>
        <v>11.470749549440983</v>
      </c>
      <c r="I75" s="203">
        <f t="shared" si="70"/>
        <v>13.07540065457798</v>
      </c>
      <c r="J75" s="203">
        <f t="shared" si="70"/>
        <v>16.32345760958748</v>
      </c>
      <c r="K75" s="203">
        <f t="shared" si="70"/>
        <v>20.0257700071601</v>
      </c>
      <c r="L75" s="203">
        <f t="shared" si="70"/>
        <v>24.180808770821006</v>
      </c>
      <c r="M75" s="203">
        <f t="shared" si="70"/>
        <v>28.78696837027161</v>
      </c>
      <c r="N75" s="20"/>
      <c r="O75" s="204" t="s">
        <v>66</v>
      </c>
      <c r="P75" s="203">
        <f>P72+M75</f>
        <v>33.84256299869839</v>
      </c>
      <c r="Q75" s="203">
        <f>Q72+P75</f>
        <v>39.34582255894716</v>
      </c>
      <c r="R75" s="203">
        <f aca="true" t="shared" si="71" ref="R75:X75">R72+Q75</f>
        <v>45.294888449006024</v>
      </c>
      <c r="S75" s="203">
        <f t="shared" si="71"/>
        <v>59.51656878739547</v>
      </c>
      <c r="T75" s="203">
        <f t="shared" si="71"/>
        <v>73.6952178427044</v>
      </c>
      <c r="U75" s="203">
        <f t="shared" si="71"/>
        <v>90.1796748427044</v>
      </c>
      <c r="V75" s="203">
        <f t="shared" si="71"/>
        <v>106.66413184270439</v>
      </c>
      <c r="W75" s="203">
        <f t="shared" si="71"/>
        <v>123.14858884270438</v>
      </c>
      <c r="X75" s="203">
        <f t="shared" si="71"/>
        <v>139.63304584270438</v>
      </c>
    </row>
    <row r="76" spans="1:24" ht="15">
      <c r="A76" s="20"/>
      <c r="B76" s="166"/>
      <c r="C76" s="168"/>
      <c r="D76" s="16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5">
      <c r="A77" s="20"/>
      <c r="B77" s="166"/>
      <c r="C77" s="168"/>
      <c r="D77" s="16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5">
      <c r="A78" s="212">
        <f>-102.74</f>
        <v>-102.74</v>
      </c>
      <c r="B78" s="213">
        <f>B59-B65</f>
        <v>0</v>
      </c>
      <c r="C78" s="213">
        <f>C59-C65</f>
        <v>-0.4078</v>
      </c>
      <c r="D78" s="213">
        <f aca="true" t="shared" si="72" ref="D78:M78">D59-D65</f>
        <v>-0.4078</v>
      </c>
      <c r="E78" s="213">
        <f t="shared" si="72"/>
        <v>8.938651349999997</v>
      </c>
      <c r="F78" s="213">
        <f t="shared" si="72"/>
        <v>16.525630447999998</v>
      </c>
      <c r="G78" s="213">
        <f t="shared" si="72"/>
        <v>16.24764755774194</v>
      </c>
      <c r="H78" s="213">
        <f t="shared" si="72"/>
        <v>16.138714573271137</v>
      </c>
      <c r="I78" s="213">
        <f t="shared" si="72"/>
        <v>14.953678472325338</v>
      </c>
      <c r="J78" s="213">
        <f t="shared" si="72"/>
        <v>13.86861590100079</v>
      </c>
      <c r="K78" s="213">
        <f t="shared" si="72"/>
        <v>13.756268391842552</v>
      </c>
      <c r="L78" s="213">
        <f t="shared" si="72"/>
        <v>13.642667039974942</v>
      </c>
      <c r="M78" s="213">
        <f t="shared" si="72"/>
        <v>13.527749153262492</v>
      </c>
      <c r="N78" s="166"/>
      <c r="O78" s="213"/>
      <c r="P78" s="213">
        <f aca="true" t="shared" si="73" ref="P78:X78">P59-P65</f>
        <v>13.41144890496296</v>
      </c>
      <c r="Q78" s="213">
        <f t="shared" si="73"/>
        <v>13.293697176996991</v>
      </c>
      <c r="R78" s="213">
        <f t="shared" si="73"/>
        <v>13.174421395381263</v>
      </c>
      <c r="S78" s="213">
        <f t="shared" si="73"/>
        <v>12.89109226275935</v>
      </c>
      <c r="T78" s="213">
        <f t="shared" si="73"/>
        <v>12.855806610633318</v>
      </c>
      <c r="U78" s="213">
        <f t="shared" si="73"/>
        <v>14.746569125279999</v>
      </c>
      <c r="V78" s="213">
        <f t="shared" si="73"/>
        <v>14.746569125279999</v>
      </c>
      <c r="W78" s="213">
        <f t="shared" si="73"/>
        <v>14.746569125279999</v>
      </c>
      <c r="X78" s="213">
        <f t="shared" si="73"/>
        <v>14.746569125279999</v>
      </c>
    </row>
    <row r="79" spans="1:24" ht="15">
      <c r="A79" s="171">
        <f>-102.74</f>
        <v>-102.74</v>
      </c>
      <c r="B79" s="166">
        <f>B60-B66</f>
        <v>0</v>
      </c>
      <c r="C79" s="166">
        <f aca="true" t="shared" si="74" ref="C79:M79">C60-C66</f>
        <v>-0.4078</v>
      </c>
      <c r="D79" s="166">
        <f t="shared" si="74"/>
        <v>-0.4078</v>
      </c>
      <c r="E79" s="166">
        <f t="shared" si="74"/>
        <v>8.938651349999997</v>
      </c>
      <c r="F79" s="166">
        <f>F60-F66</f>
        <v>15.45637952463274</v>
      </c>
      <c r="G79" s="166">
        <f t="shared" si="74"/>
        <v>15.273738359661937</v>
      </c>
      <c r="H79" s="166">
        <f t="shared" si="74"/>
        <v>15.164805375191138</v>
      </c>
      <c r="I79" s="166">
        <f t="shared" si="74"/>
        <v>13.979769274245339</v>
      </c>
      <c r="J79" s="166">
        <f t="shared" si="74"/>
        <v>13.86861590100079</v>
      </c>
      <c r="K79" s="166">
        <f t="shared" si="74"/>
        <v>13.756268391842552</v>
      </c>
      <c r="L79" s="166">
        <f t="shared" si="74"/>
        <v>13.642667039974942</v>
      </c>
      <c r="M79" s="166">
        <f t="shared" si="74"/>
        <v>13.527749153262492</v>
      </c>
      <c r="N79" s="166"/>
      <c r="O79" s="166"/>
      <c r="P79" s="166">
        <f>P60-P66</f>
        <v>13.41144890496296</v>
      </c>
      <c r="Q79" s="166">
        <f aca="true" t="shared" si="75" ref="Q79:X79">Q60-Q66</f>
        <v>13.293697176996991</v>
      </c>
      <c r="R79" s="166">
        <f t="shared" si="75"/>
        <v>13.174421395381263</v>
      </c>
      <c r="S79" s="166">
        <f t="shared" si="75"/>
        <v>12.89109226275935</v>
      </c>
      <c r="T79" s="166">
        <f t="shared" si="75"/>
        <v>12.855806610633318</v>
      </c>
      <c r="U79" s="166">
        <f t="shared" si="75"/>
        <v>14.746569125279999</v>
      </c>
      <c r="V79" s="166">
        <f>V60-V66</f>
        <v>14.746569125279999</v>
      </c>
      <c r="W79" s="166">
        <f t="shared" si="75"/>
        <v>14.746569125279999</v>
      </c>
      <c r="X79" s="166">
        <f t="shared" si="75"/>
        <v>14.746569125279999</v>
      </c>
    </row>
    <row r="80" spans="1:24" ht="15.75" thickBot="1">
      <c r="A80" s="171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1:24" ht="15.75" thickBot="1">
      <c r="A81" s="210" t="s">
        <v>67</v>
      </c>
      <c r="B81" s="256" t="e">
        <f>IRR($A$78:B78,-100%)</f>
        <v>#VALUE!</v>
      </c>
      <c r="C81" s="256" t="e">
        <f>IRR($A$78:C78,-100%)</f>
        <v>#VALUE!</v>
      </c>
      <c r="D81" s="256" t="e">
        <f>IRR($A$78:D78,-100%)</f>
        <v>#VALUE!</v>
      </c>
      <c r="E81" s="256">
        <f>IRR($A$78:E78,-40%)</f>
        <v>-0.4620943231710821</v>
      </c>
      <c r="F81" s="256">
        <f>IRR($A$78:F78,-20%)</f>
        <v>-0.26031730138378806</v>
      </c>
      <c r="G81" s="211">
        <f>IRR($A$78:G78)</f>
        <v>-0.1604426140798253</v>
      </c>
      <c r="H81" s="211">
        <f>IRR($A$78:H78)</f>
        <v>-0.09683738982980608</v>
      </c>
      <c r="I81" s="211">
        <f>IRR($A$78:I78)</f>
        <v>-0.05534749115287838</v>
      </c>
      <c r="J81" s="211">
        <f>IRR($A$78:J78)</f>
        <v>-0.02649312319723582</v>
      </c>
      <c r="K81" s="211">
        <f>IRR($A$78:K78)</f>
        <v>-0.004329060803755731</v>
      </c>
      <c r="L81" s="211">
        <f>IRR($A$78:L78)</f>
        <v>0.012984375784069557</v>
      </c>
      <c r="M81" s="211">
        <f>IRR($A$78:M78)</f>
        <v>0.026713818332103206</v>
      </c>
      <c r="N81" s="173"/>
      <c r="O81" s="210" t="s">
        <v>67</v>
      </c>
      <c r="P81" s="211">
        <f>IRR($A$78:P78)</f>
        <v>0.03774585554193227</v>
      </c>
      <c r="Q81" s="211">
        <f>IRR($A$78:Q78)</f>
        <v>0.046713206916951175</v>
      </c>
      <c r="R81" s="211">
        <f>IRR($A$78:R78)</f>
        <v>0.054076091834441294</v>
      </c>
      <c r="S81" s="211">
        <f>IRR($A$78:S78)</f>
        <v>0.06010360869556205</v>
      </c>
      <c r="T81" s="211">
        <f>IRR($A$78:T78)</f>
        <v>0.06517414986460739</v>
      </c>
      <c r="U81" s="211">
        <f>IRR($A$78:U78)</f>
        <v>0.0700774457783778</v>
      </c>
      <c r="V81" s="211">
        <f>IRR($A$78:V78)</f>
        <v>0.07421055001230628</v>
      </c>
      <c r="W81" s="211">
        <f>IRR($A$78:W78)</f>
        <v>0.07771865386233309</v>
      </c>
      <c r="X81" s="214">
        <f>IRR($A$78:X78)</f>
        <v>0.08071429444791228</v>
      </c>
    </row>
    <row r="82" spans="1:24" ht="15">
      <c r="A82" s="172" t="s">
        <v>68</v>
      </c>
      <c r="B82" s="255" t="e">
        <f>IRR($A$79:B79,-100%)</f>
        <v>#VALUE!</v>
      </c>
      <c r="C82" s="255" t="e">
        <f>IRR($A$79:C79,-100%)</f>
        <v>#VALUE!</v>
      </c>
      <c r="D82" s="255" t="e">
        <f>IRR($A$79:D79,-100%)</f>
        <v>#VALUE!</v>
      </c>
      <c r="E82" s="255">
        <f>IRR($A$79:E79,-40%)</f>
        <v>-0.4620943231710821</v>
      </c>
      <c r="F82" s="255">
        <f>IRR($A$79:F79,-20%)</f>
        <v>-0.2677933258614584</v>
      </c>
      <c r="G82" s="255">
        <f>IRR($A$79:G79)</f>
        <v>-0.1688666619212296</v>
      </c>
      <c r="H82" s="255">
        <f>IRR($A$79:H79)</f>
        <v>-0.10543166846847887</v>
      </c>
      <c r="I82" s="255">
        <f>IRR($A$79:I79)</f>
        <v>-0.06400755737070392</v>
      </c>
      <c r="J82" s="201">
        <f>IRR($A$79:J79)</f>
        <v>-0.03330836799883748</v>
      </c>
      <c r="K82" s="201">
        <f>IRR($A$79:K79)</f>
        <v>-0.009976432488901212</v>
      </c>
      <c r="L82" s="201">
        <f>IRR($A$79:L79)</f>
        <v>0.008129267876434554</v>
      </c>
      <c r="M82" s="201">
        <f>IRR($A$79:M79)</f>
        <v>0.022425038097179835</v>
      </c>
      <c r="N82" s="173"/>
      <c r="O82" s="172" t="s">
        <v>68</v>
      </c>
      <c r="P82" s="201">
        <f>IRR($A$79:P79)</f>
        <v>0.033878640637482686</v>
      </c>
      <c r="Q82" s="201">
        <f>IRR($A$79:Q79)</f>
        <v>0.0431700197476541</v>
      </c>
      <c r="R82" s="201">
        <f>IRR($A$79:R79)</f>
        <v>0.05078847542364105</v>
      </c>
      <c r="S82" s="201">
        <f>IRR($A$79:S79)</f>
        <v>0.057019586246947765</v>
      </c>
      <c r="T82" s="201">
        <f>IRR($A$79:T79)</f>
        <v>0.06225844303353631</v>
      </c>
      <c r="U82" s="201">
        <f>IRR($A$79:U79)</f>
        <v>0.0673217995854506</v>
      </c>
      <c r="V82" s="201">
        <f>IRR($A$79:V79)</f>
        <v>0.07158773473774888</v>
      </c>
      <c r="W82" s="201">
        <f>IRR($A$79:W79)</f>
        <v>0.07520765092029012</v>
      </c>
      <c r="X82" s="175">
        <f>IRR($A$79:X79)</f>
        <v>0.07829853121957002</v>
      </c>
    </row>
    <row r="83" spans="1:24" ht="15">
      <c r="A83" s="172"/>
      <c r="B83" s="166"/>
      <c r="C83" s="168"/>
      <c r="D83" s="16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5">
      <c r="A84" s="172"/>
      <c r="B84" s="166"/>
      <c r="C84" s="168"/>
      <c r="D84" s="16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5">
      <c r="A85" s="212">
        <f>-102.74</f>
        <v>-102.74</v>
      </c>
      <c r="B85" s="213">
        <f aca="true" t="shared" si="76" ref="B85:M85">B59-B65-B41</f>
        <v>0</v>
      </c>
      <c r="C85" s="213">
        <f t="shared" si="76"/>
        <v>-0.9077999999999999</v>
      </c>
      <c r="D85" s="213">
        <f t="shared" si="76"/>
        <v>-1.9078</v>
      </c>
      <c r="E85" s="213">
        <f t="shared" si="76"/>
        <v>-0.06134865000000289</v>
      </c>
      <c r="F85" s="213">
        <f t="shared" si="76"/>
        <v>16.525630447999998</v>
      </c>
      <c r="G85" s="213">
        <f t="shared" si="76"/>
        <v>16.24764755774194</v>
      </c>
      <c r="H85" s="213">
        <f t="shared" si="76"/>
        <v>16.138714573271137</v>
      </c>
      <c r="I85" s="213">
        <f t="shared" si="76"/>
        <v>14.953678472325338</v>
      </c>
      <c r="J85" s="213">
        <f t="shared" si="76"/>
        <v>13.86861590100079</v>
      </c>
      <c r="K85" s="213">
        <f t="shared" si="76"/>
        <v>13.756268391842552</v>
      </c>
      <c r="L85" s="213">
        <f t="shared" si="76"/>
        <v>13.642667039974942</v>
      </c>
      <c r="M85" s="213">
        <f t="shared" si="76"/>
        <v>13.527749153262492</v>
      </c>
      <c r="N85" s="166"/>
      <c r="O85" s="213"/>
      <c r="P85" s="213">
        <f aca="true" t="shared" si="77" ref="P85:X85">P59-P65-P41</f>
        <v>13.41144890496296</v>
      </c>
      <c r="Q85" s="213">
        <f t="shared" si="77"/>
        <v>13.293697176996991</v>
      </c>
      <c r="R85" s="213">
        <f t="shared" si="77"/>
        <v>13.174421395381263</v>
      </c>
      <c r="S85" s="213">
        <f t="shared" si="77"/>
        <v>12.89109226275935</v>
      </c>
      <c r="T85" s="213">
        <f t="shared" si="77"/>
        <v>12.855806610633318</v>
      </c>
      <c r="U85" s="213">
        <f t="shared" si="77"/>
        <v>14.746569125279999</v>
      </c>
      <c r="V85" s="213">
        <f t="shared" si="77"/>
        <v>14.746569125279999</v>
      </c>
      <c r="W85" s="213">
        <f t="shared" si="77"/>
        <v>14.746569125279999</v>
      </c>
      <c r="X85" s="213">
        <f t="shared" si="77"/>
        <v>14.746569125279999</v>
      </c>
    </row>
    <row r="86" spans="1:24" ht="15.75" thickBot="1">
      <c r="A86" s="171">
        <f>-102.74</f>
        <v>-102.74</v>
      </c>
      <c r="B86" s="166">
        <f aca="true" t="shared" si="78" ref="B86:M86">B60-B66-B41</f>
        <v>0</v>
      </c>
      <c r="C86" s="166">
        <f t="shared" si="78"/>
        <v>-0.9077999999999999</v>
      </c>
      <c r="D86" s="166">
        <f t="shared" si="78"/>
        <v>-1.9078</v>
      </c>
      <c r="E86" s="166">
        <f t="shared" si="78"/>
        <v>-0.06134865000000289</v>
      </c>
      <c r="F86" s="166">
        <f t="shared" si="78"/>
        <v>15.45637952463274</v>
      </c>
      <c r="G86" s="166">
        <f t="shared" si="78"/>
        <v>15.273738359661937</v>
      </c>
      <c r="H86" s="166">
        <f t="shared" si="78"/>
        <v>15.164805375191138</v>
      </c>
      <c r="I86" s="166">
        <f t="shared" si="78"/>
        <v>13.979769274245339</v>
      </c>
      <c r="J86" s="166">
        <f t="shared" si="78"/>
        <v>13.86861590100079</v>
      </c>
      <c r="K86" s="166">
        <f t="shared" si="78"/>
        <v>13.756268391842552</v>
      </c>
      <c r="L86" s="166">
        <f t="shared" si="78"/>
        <v>13.642667039974942</v>
      </c>
      <c r="M86" s="166">
        <f t="shared" si="78"/>
        <v>13.527749153262492</v>
      </c>
      <c r="N86" s="166"/>
      <c r="O86" s="166"/>
      <c r="P86" s="166">
        <f aca="true" t="shared" si="79" ref="P86:X86">P60-P66-P41</f>
        <v>13.41144890496296</v>
      </c>
      <c r="Q86" s="166">
        <f t="shared" si="79"/>
        <v>13.293697176996991</v>
      </c>
      <c r="R86" s="166">
        <f t="shared" si="79"/>
        <v>13.174421395381263</v>
      </c>
      <c r="S86" s="166">
        <f t="shared" si="79"/>
        <v>12.89109226275935</v>
      </c>
      <c r="T86" s="166">
        <f t="shared" si="79"/>
        <v>12.855806610633318</v>
      </c>
      <c r="U86" s="166">
        <f t="shared" si="79"/>
        <v>14.746569125279999</v>
      </c>
      <c r="V86" s="166">
        <f t="shared" si="79"/>
        <v>14.746569125279999</v>
      </c>
      <c r="W86" s="166">
        <f t="shared" si="79"/>
        <v>14.746569125279999</v>
      </c>
      <c r="X86" s="166">
        <f t="shared" si="79"/>
        <v>14.746569125279999</v>
      </c>
    </row>
    <row r="87" spans="1:24" ht="15.75" thickBot="1">
      <c r="A87" s="210" t="s">
        <v>69</v>
      </c>
      <c r="B87" s="256" t="e">
        <f>IRR($A$85:B85,-100%)</f>
        <v>#VALUE!</v>
      </c>
      <c r="C87" s="256" t="e">
        <f>IRR($A$85:C85,-100%)</f>
        <v>#VALUE!</v>
      </c>
      <c r="D87" s="256" t="e">
        <f>IRR($A$85:D85,-100%)</f>
        <v>#VALUE!</v>
      </c>
      <c r="E87" s="256" t="e">
        <f>IRR($A$85:E85,-60%)</f>
        <v>#NUM!</v>
      </c>
      <c r="F87" s="256">
        <f>IRR($A$85:F85,-20%)</f>
        <v>-0.3167031387189514</v>
      </c>
      <c r="G87" s="211">
        <f>IRR($A$85:G85)</f>
        <v>-0.19411166416190326</v>
      </c>
      <c r="H87" s="211">
        <f>IRR($A$85:H85)</f>
        <v>-0.12141714020575178</v>
      </c>
      <c r="I87" s="211">
        <f>IRR($A$85:I85)</f>
        <v>-0.0752690086724649</v>
      </c>
      <c r="J87" s="211">
        <f>IRR($A$85:J85)</f>
        <v>-0.043572934612413024</v>
      </c>
      <c r="K87" s="211">
        <f>IRR($A$85:K85)</f>
        <v>-0.019394234847271926</v>
      </c>
      <c r="L87" s="211">
        <f>IRR($A$85:L85)</f>
        <v>-0.000590159106937856</v>
      </c>
      <c r="M87" s="211">
        <f>IRR($A$85:M85)</f>
        <v>0.01428103737987998</v>
      </c>
      <c r="N87" s="173"/>
      <c r="O87" s="210" t="s">
        <v>69</v>
      </c>
      <c r="P87" s="211">
        <f>IRR($A$85:P85)</f>
        <v>0.026212355622362116</v>
      </c>
      <c r="Q87" s="211">
        <f>IRR($A$85:Q85)</f>
        <v>0.03590427048891554</v>
      </c>
      <c r="R87" s="211">
        <f>IRR($A$85:R85)</f>
        <v>0.04386193865784955</v>
      </c>
      <c r="S87" s="211">
        <f>IRR($A$85:S85)</f>
        <v>0.05037982983357686</v>
      </c>
      <c r="T87" s="211">
        <f>IRR($A$85:T85)</f>
        <v>0.05586804013145826</v>
      </c>
      <c r="U87" s="211">
        <f>IRR($A$85:U85)</f>
        <v>0.06117895931998691</v>
      </c>
      <c r="V87" s="211">
        <f>IRR($A$85:V85)</f>
        <v>0.06565822587766842</v>
      </c>
      <c r="W87" s="211">
        <f>IRR($A$85:W85)</f>
        <v>0.06946381325712105</v>
      </c>
      <c r="X87" s="214">
        <f>IRR($A$85:X85)</f>
        <v>0.0727176232568898</v>
      </c>
    </row>
    <row r="88" spans="1:24" ht="15">
      <c r="A88" s="172" t="s">
        <v>70</v>
      </c>
      <c r="B88" s="255" t="e">
        <f>IRR($A$86:B86,-100%)</f>
        <v>#VALUE!</v>
      </c>
      <c r="C88" s="255" t="e">
        <f>IRR($A$86:C86,-100%)</f>
        <v>#VALUE!</v>
      </c>
      <c r="D88" s="255" t="e">
        <f>IRR($A$86:D86,-100%)</f>
        <v>#VALUE!</v>
      </c>
      <c r="E88" s="255" t="e">
        <f>IRR($A$86:E86,-70%)</f>
        <v>#NUM!</v>
      </c>
      <c r="F88" s="255">
        <f>IRR($A$86:F86,-30%)</f>
        <v>-0.32618041248355284</v>
      </c>
      <c r="G88" s="201">
        <f>IRR($A$86:G86,-15%)</f>
        <v>-0.20359034559791792</v>
      </c>
      <c r="H88" s="201">
        <f>IRR($A$86:H86)</f>
        <v>-0.13069787767957655</v>
      </c>
      <c r="I88" s="201">
        <f>IRR($A$86:I86)</f>
        <v>-0.0844453878202345</v>
      </c>
      <c r="J88" s="201">
        <f>IRR($A$86:J86)</f>
        <v>-0.05064565789877208</v>
      </c>
      <c r="K88" s="201">
        <f>IRR($A$86:K86)</f>
        <v>-0.025172224633182836</v>
      </c>
      <c r="L88" s="201">
        <f>IRR($A$86:L86)</f>
        <v>-0.005506445647272788</v>
      </c>
      <c r="M88" s="201">
        <f>IRR($A$86:M86)</f>
        <v>0.009972445999185698</v>
      </c>
      <c r="N88" s="20"/>
      <c r="O88" s="172" t="s">
        <v>70</v>
      </c>
      <c r="P88" s="201">
        <f>IRR($A$86:P86)</f>
        <v>0.022351683224266696</v>
      </c>
      <c r="Q88" s="201">
        <f>IRR($A$86:Q86)</f>
        <v>0.032385360604021154</v>
      </c>
      <c r="R88" s="201">
        <f>IRR($A$86:R86)</f>
        <v>0.04061109655555868</v>
      </c>
      <c r="S88" s="201">
        <f>IRR($A$86:S86)</f>
        <v>0.0473416600954615</v>
      </c>
      <c r="T88" s="201">
        <f>IRR($A$86:T86)</f>
        <v>0.05300515196162564</v>
      </c>
      <c r="U88" s="201">
        <f>IRR($A$86:U86)</f>
        <v>0.05848221724289961</v>
      </c>
      <c r="V88" s="201">
        <f>IRR($A$86:V86)</f>
        <v>0.06309892368056295</v>
      </c>
      <c r="W88" s="201">
        <f>IRR($A$86:W86)</f>
        <v>0.06701993920780025</v>
      </c>
      <c r="X88" s="175">
        <f>IRR($A$86:X86)</f>
        <v>0.07037191402387909</v>
      </c>
    </row>
    <row r="89" spans="1:24" ht="15">
      <c r="A89" s="20"/>
      <c r="B89" s="166"/>
      <c r="C89" s="168"/>
      <c r="D89" s="16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5">
      <c r="A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5">
      <c r="A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</sheetData>
  <sheetProtection/>
  <printOptions/>
  <pageMargins left="0.4724409448818898" right="0.15748031496062992" top="0.4724409448818898" bottom="0.4724409448818898" header="0.15748031496062992" footer="0.1968503937007874"/>
  <pageSetup horizontalDpi="300" verticalDpi="300" orientation="landscape" paperSize="9" r:id="rId3"/>
  <headerFooter alignWithMargins="0">
    <oddHeader>&amp;C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6:I2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6.00390625" style="0" customWidth="1"/>
  </cols>
  <sheetData>
    <row r="6" spans="2:9" ht="12.75">
      <c r="B6" s="166"/>
      <c r="C6" s="184" t="s">
        <v>43</v>
      </c>
      <c r="D6" s="169"/>
      <c r="E6" s="20"/>
      <c r="F6" s="20"/>
      <c r="G6" s="20"/>
      <c r="H6" s="20"/>
      <c r="I6" s="20"/>
    </row>
    <row r="7" spans="2:9" ht="12.75">
      <c r="B7" s="166"/>
      <c r="C7" s="168"/>
      <c r="D7" s="169"/>
      <c r="E7" s="20"/>
      <c r="F7" s="20"/>
      <c r="G7" s="20"/>
      <c r="H7" s="20"/>
      <c r="I7" s="20"/>
    </row>
    <row r="8" spans="2:9" ht="15">
      <c r="B8" s="23"/>
      <c r="C8" s="12" t="s">
        <v>44</v>
      </c>
      <c r="D8" s="185">
        <v>-0.1</v>
      </c>
      <c r="E8" s="185">
        <v>-0.05</v>
      </c>
      <c r="F8" s="186">
        <v>0</v>
      </c>
      <c r="G8" s="185">
        <v>0.05</v>
      </c>
      <c r="H8" s="185">
        <v>0.1</v>
      </c>
      <c r="I8" s="1"/>
    </row>
    <row r="9" spans="2:9" ht="15">
      <c r="B9" s="23"/>
      <c r="C9" s="12" t="s">
        <v>173</v>
      </c>
      <c r="D9" s="187">
        <f>($F$9*D8)+$F$9</f>
        <v>49453.2</v>
      </c>
      <c r="E9" s="187">
        <f>($F$9*E8)+$F$9</f>
        <v>52200.6</v>
      </c>
      <c r="F9" s="188">
        <v>54948</v>
      </c>
      <c r="G9" s="187">
        <f>($F$9*G8)+$F$9</f>
        <v>57695.4</v>
      </c>
      <c r="H9" s="187">
        <f>($F$9*H8)+$F$9</f>
        <v>60442.8</v>
      </c>
      <c r="I9" s="1"/>
    </row>
    <row r="10" spans="2:9" ht="15">
      <c r="B10" s="23"/>
      <c r="C10" s="12" t="s">
        <v>47</v>
      </c>
      <c r="D10" s="257">
        <v>6.89</v>
      </c>
      <c r="E10" s="257">
        <v>7.37</v>
      </c>
      <c r="F10" s="189">
        <v>7.83</v>
      </c>
      <c r="G10" s="76">
        <v>8.27</v>
      </c>
      <c r="H10" s="76">
        <v>8.7</v>
      </c>
      <c r="I10" s="1"/>
    </row>
    <row r="11" spans="2:9" ht="15">
      <c r="B11" s="23"/>
      <c r="C11" s="174" t="s">
        <v>48</v>
      </c>
      <c r="D11" s="66">
        <v>6.09</v>
      </c>
      <c r="E11" s="66">
        <v>6.57</v>
      </c>
      <c r="F11" s="189">
        <v>7.04</v>
      </c>
      <c r="G11" s="76">
        <v>7.48</v>
      </c>
      <c r="H11" s="76">
        <v>7.92</v>
      </c>
      <c r="I11" s="1"/>
    </row>
    <row r="12" spans="2:9" ht="15">
      <c r="B12" s="23"/>
      <c r="C12" s="73"/>
      <c r="D12" s="73"/>
      <c r="E12" s="73"/>
      <c r="F12" s="73"/>
      <c r="G12" s="73"/>
      <c r="H12" s="73"/>
      <c r="I12" s="1"/>
    </row>
    <row r="13" spans="2:9" ht="15">
      <c r="B13" s="23"/>
      <c r="C13" s="162" t="s">
        <v>45</v>
      </c>
      <c r="D13" s="190">
        <v>0</v>
      </c>
      <c r="E13" s="185">
        <v>0.1</v>
      </c>
      <c r="F13" s="185">
        <v>0.2</v>
      </c>
      <c r="G13" s="185">
        <v>0.3</v>
      </c>
      <c r="H13" s="185">
        <v>0.4</v>
      </c>
      <c r="I13" s="1"/>
    </row>
    <row r="14" spans="2:9" ht="15">
      <c r="B14" s="23"/>
      <c r="C14" s="162" t="s">
        <v>46</v>
      </c>
      <c r="D14" s="191">
        <v>10</v>
      </c>
      <c r="E14" s="76">
        <f>($D$14*E13)+$D$14</f>
        <v>11</v>
      </c>
      <c r="F14" s="76">
        <f>($D$14*F13)+$D$14</f>
        <v>12</v>
      </c>
      <c r="G14" s="76">
        <f>($D$14*G13)+$D$14</f>
        <v>13</v>
      </c>
      <c r="H14" s="76">
        <f>($D$14*H13)+$D$14</f>
        <v>14</v>
      </c>
      <c r="I14" s="1"/>
    </row>
    <row r="15" spans="2:9" ht="15">
      <c r="B15" s="23"/>
      <c r="C15" s="12" t="s">
        <v>49</v>
      </c>
      <c r="D15" s="192">
        <v>8.07</v>
      </c>
      <c r="E15" s="193">
        <v>8.09</v>
      </c>
      <c r="F15" s="193">
        <v>8.11</v>
      </c>
      <c r="G15" s="194">
        <v>8.13</v>
      </c>
      <c r="H15" s="193">
        <v>8.15</v>
      </c>
      <c r="I15" s="1"/>
    </row>
    <row r="16" spans="2:9" ht="15">
      <c r="B16" s="23"/>
      <c r="C16" s="174" t="s">
        <v>50</v>
      </c>
      <c r="D16" s="192">
        <v>7.27</v>
      </c>
      <c r="E16" s="195">
        <v>7.29</v>
      </c>
      <c r="F16" s="195">
        <v>7.31</v>
      </c>
      <c r="G16" s="195">
        <v>7.33</v>
      </c>
      <c r="H16" s="195">
        <v>7.35</v>
      </c>
      <c r="I16" s="1"/>
    </row>
    <row r="17" spans="2:9" ht="15">
      <c r="B17" s="23"/>
      <c r="C17" s="24"/>
      <c r="D17" s="25"/>
      <c r="E17" s="1"/>
      <c r="F17" s="1"/>
      <c r="G17" s="1"/>
      <c r="H17" s="1"/>
      <c r="I17" s="1"/>
    </row>
    <row r="18" spans="2:9" ht="15">
      <c r="B18" s="23"/>
      <c r="C18" s="24"/>
      <c r="D18" s="25"/>
      <c r="E18" s="1"/>
      <c r="F18" s="1"/>
      <c r="G18" s="1"/>
      <c r="H18" s="1"/>
      <c r="I18" s="1"/>
    </row>
    <row r="20" spans="3:4" ht="12.75">
      <c r="C20" s="12" t="s">
        <v>173</v>
      </c>
      <c r="D20" s="243">
        <f>H9</f>
        <v>60442.8</v>
      </c>
    </row>
    <row r="21" spans="3:4" ht="12.75">
      <c r="C21" s="162" t="s">
        <v>46</v>
      </c>
      <c r="D21" s="244">
        <f>H14</f>
        <v>14</v>
      </c>
    </row>
    <row r="22" spans="3:4" ht="12.75">
      <c r="C22" s="12" t="s">
        <v>49</v>
      </c>
      <c r="D22" s="245">
        <v>9.04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5"/>
  <sheetViews>
    <sheetView zoomScale="101" zoomScaleNormal="101" zoomScalePageLayoutView="0" workbookViewId="0" topLeftCell="A1">
      <selection activeCell="T11" sqref="T11"/>
    </sheetView>
  </sheetViews>
  <sheetFormatPr defaultColWidth="9.140625" defaultRowHeight="12.75" outlineLevelRow="1" outlineLevelCol="1"/>
  <cols>
    <col min="1" max="1" width="36.421875" style="14" bestFit="1" customWidth="1"/>
    <col min="2" max="2" width="9.28125" style="14" hidden="1" customWidth="1" outlineLevel="1"/>
    <col min="3" max="3" width="13.8515625" style="14" hidden="1" customWidth="1" outlineLevel="1"/>
    <col min="4" max="4" width="15.140625" style="13" hidden="1" customWidth="1" outlineLevel="1"/>
    <col min="5" max="5" width="11.7109375" style="13" customWidth="1" collapsed="1"/>
    <col min="6" max="6" width="9.8515625" style="14" hidden="1" customWidth="1" outlineLevel="1"/>
    <col min="7" max="7" width="11.7109375" style="14" hidden="1" customWidth="1" outlineLevel="1"/>
    <col min="8" max="8" width="6.140625" style="14" bestFit="1" customWidth="1" collapsed="1"/>
    <col min="9" max="11" width="7.00390625" style="14" bestFit="1" customWidth="1"/>
    <col min="12" max="13" width="7.421875" style="14" bestFit="1" customWidth="1"/>
    <col min="14" max="19" width="7.00390625" style="14" bestFit="1" customWidth="1"/>
    <col min="20" max="20" width="13.140625" style="14" customWidth="1"/>
    <col min="21" max="21" width="36.421875" style="14" bestFit="1" customWidth="1"/>
    <col min="22" max="23" width="7.00390625" style="14" bestFit="1" customWidth="1"/>
    <col min="24" max="25" width="6.140625" style="14" bestFit="1" customWidth="1"/>
    <col min="26" max="26" width="6.57421875" style="14" bestFit="1" customWidth="1"/>
    <col min="27" max="30" width="7.7109375" style="14" bestFit="1" customWidth="1"/>
    <col min="31" max="16384" width="9.140625" style="14" customWidth="1"/>
  </cols>
  <sheetData>
    <row r="1" ht="12.75">
      <c r="A1" s="41">
        <f>Calculation!B6</f>
        <v>1000000</v>
      </c>
    </row>
    <row r="2" spans="1:31" ht="13.5" thickBot="1">
      <c r="A2" s="222" t="s">
        <v>131</v>
      </c>
      <c r="B2" s="223"/>
      <c r="C2" s="223"/>
      <c r="D2" s="224"/>
      <c r="E2" s="225">
        <v>3.4528</v>
      </c>
      <c r="F2" s="226" t="s">
        <v>139</v>
      </c>
      <c r="G2" s="226" t="s">
        <v>140</v>
      </c>
      <c r="H2" s="138">
        <v>2007</v>
      </c>
      <c r="I2" s="138">
        <v>2008</v>
      </c>
      <c r="J2" s="138">
        <v>2009</v>
      </c>
      <c r="K2" s="138">
        <v>2010</v>
      </c>
      <c r="L2" s="138">
        <v>2011</v>
      </c>
      <c r="M2" s="138">
        <v>2012</v>
      </c>
      <c r="N2" s="138">
        <v>2013</v>
      </c>
      <c r="O2" s="138">
        <v>2014</v>
      </c>
      <c r="P2" s="138">
        <v>2015</v>
      </c>
      <c r="Q2" s="138">
        <v>2016</v>
      </c>
      <c r="R2" s="138">
        <v>2017</v>
      </c>
      <c r="S2" s="138">
        <v>2018</v>
      </c>
      <c r="T2" s="143"/>
      <c r="U2" s="127"/>
      <c r="V2" s="138">
        <v>2019</v>
      </c>
      <c r="W2" s="138">
        <v>2020</v>
      </c>
      <c r="X2" s="138">
        <v>2021</v>
      </c>
      <c r="Y2" s="138">
        <v>2022</v>
      </c>
      <c r="Z2" s="138">
        <v>2023</v>
      </c>
      <c r="AA2" s="138">
        <v>2024</v>
      </c>
      <c r="AB2" s="138">
        <v>2025</v>
      </c>
      <c r="AC2" s="138">
        <v>2026</v>
      </c>
      <c r="AD2" s="138">
        <v>2027</v>
      </c>
      <c r="AE2" s="138">
        <v>2028</v>
      </c>
    </row>
    <row r="3" spans="1:31" ht="12.75">
      <c r="A3" s="227"/>
      <c r="B3" s="12"/>
      <c r="C3" s="12"/>
      <c r="E3" s="132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</row>
    <row r="4" spans="1:31" ht="12.75">
      <c r="A4" s="228"/>
      <c r="B4" s="229" t="s">
        <v>135</v>
      </c>
      <c r="C4" s="229" t="s">
        <v>136</v>
      </c>
      <c r="D4" s="230" t="s">
        <v>137</v>
      </c>
      <c r="E4" s="230" t="s">
        <v>138</v>
      </c>
      <c r="F4" s="230" t="s">
        <v>137</v>
      </c>
      <c r="G4" s="230" t="s">
        <v>137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8"/>
      <c r="U4" s="89"/>
      <c r="V4" s="89"/>
      <c r="W4" s="89"/>
      <c r="X4" s="89"/>
      <c r="Y4" s="89"/>
      <c r="Z4" s="89"/>
      <c r="AA4" s="89"/>
      <c r="AB4" s="89"/>
      <c r="AC4" s="89"/>
      <c r="AD4" s="89"/>
      <c r="AE4" s="106"/>
    </row>
    <row r="5" spans="1:31" ht="12.75" outlineLevel="1">
      <c r="A5" s="87" t="s">
        <v>132</v>
      </c>
      <c r="B5" s="87">
        <v>10</v>
      </c>
      <c r="C5" s="133">
        <v>2112900</v>
      </c>
      <c r="D5" s="134">
        <f>B5*C5</f>
        <v>21129000</v>
      </c>
      <c r="E5" s="134">
        <f>D5*$E$2/$A$1</f>
        <v>72.9542112</v>
      </c>
      <c r="F5" s="134"/>
      <c r="G5" s="134"/>
      <c r="H5" s="134"/>
      <c r="I5" s="56">
        <f>E5*0.1</f>
        <v>7.29542112</v>
      </c>
      <c r="J5" s="134">
        <f>E5-I5</f>
        <v>65.65879008</v>
      </c>
      <c r="K5" s="134"/>
      <c r="L5" s="134"/>
      <c r="M5" s="134"/>
      <c r="N5" s="134"/>
      <c r="O5" s="134"/>
      <c r="P5" s="134"/>
      <c r="Q5" s="134"/>
      <c r="R5" s="134"/>
      <c r="S5" s="134"/>
      <c r="T5" s="15"/>
      <c r="U5" s="87" t="s">
        <v>132</v>
      </c>
      <c r="V5" s="134"/>
      <c r="W5" s="134"/>
      <c r="X5" s="134"/>
      <c r="Y5" s="134"/>
      <c r="Z5" s="134"/>
      <c r="AA5" s="134"/>
      <c r="AB5" s="134"/>
      <c r="AC5" s="134"/>
      <c r="AD5" s="134"/>
      <c r="AE5" s="134"/>
    </row>
    <row r="6" spans="1:31" ht="12.75" outlineLevel="1">
      <c r="A6" s="87" t="s">
        <v>91</v>
      </c>
      <c r="B6" s="87">
        <v>10</v>
      </c>
      <c r="C6" s="133">
        <v>61000</v>
      </c>
      <c r="D6" s="134">
        <f aca="true" t="shared" si="0" ref="D6:D15">B6*C6</f>
        <v>610000</v>
      </c>
      <c r="E6" s="134">
        <f aca="true" t="shared" si="1" ref="E6:E15">D6*$E$2/$A$1</f>
        <v>2.106208</v>
      </c>
      <c r="F6" s="134"/>
      <c r="G6" s="134"/>
      <c r="H6" s="134"/>
      <c r="I6" s="56">
        <f>E6*0.1</f>
        <v>0.21062080000000002</v>
      </c>
      <c r="J6" s="134">
        <f>E6-I6</f>
        <v>1.8955872</v>
      </c>
      <c r="K6" s="134"/>
      <c r="L6" s="134"/>
      <c r="M6" s="134"/>
      <c r="N6" s="134"/>
      <c r="O6" s="134"/>
      <c r="P6" s="134"/>
      <c r="Q6" s="134"/>
      <c r="R6" s="134"/>
      <c r="S6" s="134"/>
      <c r="T6" s="15"/>
      <c r="U6" s="87" t="s">
        <v>91</v>
      </c>
      <c r="V6" s="134"/>
      <c r="W6" s="134"/>
      <c r="X6" s="134"/>
      <c r="Y6" s="134"/>
      <c r="Z6" s="134"/>
      <c r="AA6" s="134"/>
      <c r="AB6" s="134"/>
      <c r="AC6" s="134"/>
      <c r="AD6" s="134"/>
      <c r="AE6" s="134"/>
    </row>
    <row r="7" spans="1:31" ht="12.75" outlineLevel="1">
      <c r="A7" s="87" t="s">
        <v>88</v>
      </c>
      <c r="B7" s="87">
        <v>10</v>
      </c>
      <c r="C7" s="133">
        <v>110500</v>
      </c>
      <c r="D7" s="134">
        <f t="shared" si="0"/>
        <v>1105000</v>
      </c>
      <c r="E7" s="134">
        <f t="shared" si="1"/>
        <v>3.815344</v>
      </c>
      <c r="F7" s="134"/>
      <c r="G7" s="134"/>
      <c r="H7" s="134"/>
      <c r="I7" s="56">
        <f>E7*0.1</f>
        <v>0.38153440000000005</v>
      </c>
      <c r="J7" s="134">
        <f aca="true" t="shared" si="2" ref="J7:J14">E7-I7</f>
        <v>3.4338096</v>
      </c>
      <c r="K7" s="134"/>
      <c r="L7" s="134"/>
      <c r="M7" s="134"/>
      <c r="N7" s="134"/>
      <c r="O7" s="134"/>
      <c r="P7" s="134"/>
      <c r="Q7" s="134"/>
      <c r="R7" s="134"/>
      <c r="S7" s="134"/>
      <c r="T7" s="15"/>
      <c r="U7" s="87" t="s">
        <v>88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</row>
    <row r="8" spans="1:31" ht="12.75" outlineLevel="1">
      <c r="A8" s="87" t="s">
        <v>87</v>
      </c>
      <c r="B8" s="87">
        <v>10</v>
      </c>
      <c r="C8" s="133">
        <v>82500</v>
      </c>
      <c r="D8" s="134">
        <f t="shared" si="0"/>
        <v>825000</v>
      </c>
      <c r="E8" s="134">
        <f>D8*$E$2/$A$1</f>
        <v>2.84856</v>
      </c>
      <c r="F8" s="134"/>
      <c r="G8" s="134"/>
      <c r="H8" s="134"/>
      <c r="I8" s="56">
        <f>E8*0.1</f>
        <v>0.284856</v>
      </c>
      <c r="J8" s="134">
        <f t="shared" si="2"/>
        <v>2.563704</v>
      </c>
      <c r="K8" s="134"/>
      <c r="L8" s="134"/>
      <c r="M8" s="134"/>
      <c r="N8" s="134"/>
      <c r="O8" s="134"/>
      <c r="P8" s="134"/>
      <c r="Q8" s="134"/>
      <c r="R8" s="134"/>
      <c r="S8" s="134"/>
      <c r="T8" s="15"/>
      <c r="U8" s="87" t="s">
        <v>87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</row>
    <row r="9" spans="1:31" ht="12.75" outlineLevel="1">
      <c r="A9" s="87" t="s">
        <v>86</v>
      </c>
      <c r="B9" s="87">
        <v>10</v>
      </c>
      <c r="C9" s="133">
        <v>34755</v>
      </c>
      <c r="D9" s="134">
        <f t="shared" si="0"/>
        <v>347550</v>
      </c>
      <c r="E9" s="134">
        <f t="shared" si="1"/>
        <v>1.20002064</v>
      </c>
      <c r="F9" s="134"/>
      <c r="G9" s="134"/>
      <c r="H9" s="134"/>
      <c r="I9" s="56">
        <f>E9*0.5</f>
        <v>0.60001032</v>
      </c>
      <c r="J9" s="134">
        <f t="shared" si="2"/>
        <v>0.60001032</v>
      </c>
      <c r="K9" s="134"/>
      <c r="L9" s="134"/>
      <c r="M9" s="134"/>
      <c r="N9" s="134"/>
      <c r="O9" s="134"/>
      <c r="P9" s="134"/>
      <c r="Q9" s="134"/>
      <c r="R9" s="134"/>
      <c r="S9" s="134"/>
      <c r="T9" s="15"/>
      <c r="U9" s="87" t="s">
        <v>86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</row>
    <row r="10" spans="1:31" ht="12.75" outlineLevel="1">
      <c r="A10" s="87" t="s">
        <v>84</v>
      </c>
      <c r="B10" s="87">
        <v>10</v>
      </c>
      <c r="C10" s="133">
        <v>15000</v>
      </c>
      <c r="D10" s="134">
        <f t="shared" si="0"/>
        <v>150000</v>
      </c>
      <c r="E10" s="134">
        <f t="shared" si="1"/>
        <v>0.51792</v>
      </c>
      <c r="F10" s="134"/>
      <c r="G10" s="134"/>
      <c r="H10" s="135"/>
      <c r="I10" s="56">
        <f>E10*0.5</f>
        <v>0.25896</v>
      </c>
      <c r="J10" s="134">
        <f t="shared" si="2"/>
        <v>0.25896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5"/>
      <c r="U10" s="87" t="s">
        <v>84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</row>
    <row r="11" spans="1:31" ht="12.75" customHeight="1" outlineLevel="1">
      <c r="A11" s="87" t="s">
        <v>93</v>
      </c>
      <c r="B11" s="87">
        <v>20</v>
      </c>
      <c r="C11" s="133">
        <f>+Calculation!B54/E2</f>
        <v>146547.72937905468</v>
      </c>
      <c r="D11" s="134">
        <f>B11*C11</f>
        <v>2930954.5875810934</v>
      </c>
      <c r="E11" s="134">
        <f>D11*$E$2/$A$1</f>
        <v>10.119999999999997</v>
      </c>
      <c r="F11" s="134"/>
      <c r="G11" s="134"/>
      <c r="H11" s="134"/>
      <c r="I11" s="56"/>
      <c r="J11" s="134">
        <f t="shared" si="2"/>
        <v>10.119999999999997</v>
      </c>
      <c r="K11" s="87"/>
      <c r="L11" s="134"/>
      <c r="M11" s="134"/>
      <c r="N11" s="134"/>
      <c r="O11" s="134"/>
      <c r="P11" s="134"/>
      <c r="Q11" s="134"/>
      <c r="R11" s="134"/>
      <c r="S11" s="134"/>
      <c r="T11" s="15"/>
      <c r="U11" s="87" t="s">
        <v>93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</row>
    <row r="12" spans="1:31" ht="12.75" customHeight="1" outlineLevel="1">
      <c r="A12" s="221" t="s">
        <v>92</v>
      </c>
      <c r="B12" s="87">
        <v>1</v>
      </c>
      <c r="C12" s="133">
        <v>1605000</v>
      </c>
      <c r="D12" s="134">
        <f>B12*C12</f>
        <v>1605000</v>
      </c>
      <c r="E12" s="134">
        <f>D12*$E$2/$A$1</f>
        <v>5.541744</v>
      </c>
      <c r="F12" s="134"/>
      <c r="G12" s="134"/>
      <c r="H12" s="134"/>
      <c r="I12" s="56">
        <f>E12*0.15</f>
        <v>0.8312615999999999</v>
      </c>
      <c r="J12" s="134">
        <f t="shared" si="2"/>
        <v>4.7104824</v>
      </c>
      <c r="K12" s="87"/>
      <c r="L12" s="134"/>
      <c r="M12" s="134"/>
      <c r="N12" s="134"/>
      <c r="O12" s="134"/>
      <c r="P12" s="134"/>
      <c r="Q12" s="134"/>
      <c r="R12" s="134"/>
      <c r="S12" s="134"/>
      <c r="T12" s="15"/>
      <c r="U12" s="221" t="s">
        <v>92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</row>
    <row r="13" spans="1:31" ht="12.75" outlineLevel="1">
      <c r="A13" s="136" t="s">
        <v>133</v>
      </c>
      <c r="B13" s="87">
        <v>10</v>
      </c>
      <c r="C13" s="133">
        <v>30000</v>
      </c>
      <c r="D13" s="134">
        <f t="shared" si="0"/>
        <v>300000</v>
      </c>
      <c r="E13" s="134">
        <f t="shared" si="1"/>
        <v>1.03584</v>
      </c>
      <c r="F13" s="134"/>
      <c r="G13" s="134"/>
      <c r="I13" s="56"/>
      <c r="J13" s="134">
        <f t="shared" si="2"/>
        <v>1.03584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5"/>
      <c r="U13" s="136" t="s">
        <v>133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</row>
    <row r="14" spans="1:31" ht="14.25" customHeight="1" outlineLevel="1">
      <c r="A14" s="87" t="s">
        <v>89</v>
      </c>
      <c r="B14" s="87">
        <v>10</v>
      </c>
      <c r="C14" s="133">
        <v>66700</v>
      </c>
      <c r="D14" s="134">
        <f t="shared" si="0"/>
        <v>667000</v>
      </c>
      <c r="E14" s="134">
        <f t="shared" si="1"/>
        <v>2.3030176</v>
      </c>
      <c r="F14" s="134"/>
      <c r="G14" s="134"/>
      <c r="H14" s="134"/>
      <c r="I14" s="56">
        <f>E14*0.1</f>
        <v>0.23030176000000002</v>
      </c>
      <c r="J14" s="134">
        <f t="shared" si="2"/>
        <v>2.07271584</v>
      </c>
      <c r="K14" s="56">
        <f>G14*0.1</f>
        <v>0</v>
      </c>
      <c r="L14" s="134"/>
      <c r="M14" s="134"/>
      <c r="N14" s="134"/>
      <c r="O14" s="134"/>
      <c r="P14" s="134"/>
      <c r="Q14" s="134"/>
      <c r="R14" s="134"/>
      <c r="S14" s="134"/>
      <c r="T14" s="15"/>
      <c r="U14" s="87" t="s">
        <v>89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</row>
    <row r="15" spans="1:31" ht="12.75" outlineLevel="1">
      <c r="A15" s="87" t="s">
        <v>134</v>
      </c>
      <c r="B15" s="87">
        <v>1</v>
      </c>
      <c r="C15" s="133">
        <f>400000/E2</f>
        <v>115848.00741427248</v>
      </c>
      <c r="D15" s="134">
        <f t="shared" si="0"/>
        <v>115848.00741427248</v>
      </c>
      <c r="E15" s="134">
        <f t="shared" si="1"/>
        <v>0.4</v>
      </c>
      <c r="F15" s="134"/>
      <c r="G15" s="134"/>
      <c r="H15" s="134">
        <f>E15</f>
        <v>0.4</v>
      </c>
      <c r="I15" s="56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5"/>
      <c r="U15" s="87" t="s">
        <v>134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</row>
    <row r="16" spans="1:31" ht="13.5" outlineLevel="1" thickBot="1">
      <c r="A16" s="16"/>
      <c r="B16" s="16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28" customFormat="1" ht="13.5" thickBot="1">
      <c r="A17" s="27" t="s">
        <v>31</v>
      </c>
      <c r="B17" s="124"/>
      <c r="C17" s="124"/>
      <c r="D17" s="139">
        <f>SUM(D5:D16)</f>
        <v>29785352.59499537</v>
      </c>
      <c r="E17" s="139">
        <f>SUM(E5:E16)</f>
        <v>102.84286544000001</v>
      </c>
      <c r="F17" s="139"/>
      <c r="G17" s="139">
        <f>SUM(G5:G16)</f>
        <v>0</v>
      </c>
      <c r="H17" s="139">
        <f>SUM(H5:H16)</f>
        <v>0.4</v>
      </c>
      <c r="I17" s="139">
        <f>SUM(I5:I16)</f>
        <v>10.092966</v>
      </c>
      <c r="J17" s="139">
        <f>SUM(J5:J16)</f>
        <v>92.34989944</v>
      </c>
      <c r="K17" s="139">
        <f aca="true" t="shared" si="3" ref="K17:AE17">SUM(K5:K16)</f>
        <v>0</v>
      </c>
      <c r="L17" s="139">
        <f t="shared" si="3"/>
        <v>0</v>
      </c>
      <c r="M17" s="139">
        <f t="shared" si="3"/>
        <v>0</v>
      </c>
      <c r="N17" s="139">
        <f t="shared" si="3"/>
        <v>0</v>
      </c>
      <c r="O17" s="139">
        <f t="shared" si="3"/>
        <v>0</v>
      </c>
      <c r="P17" s="139">
        <f t="shared" si="3"/>
        <v>0</v>
      </c>
      <c r="Q17" s="139">
        <f t="shared" si="3"/>
        <v>0</v>
      </c>
      <c r="R17" s="139">
        <f t="shared" si="3"/>
        <v>0</v>
      </c>
      <c r="S17" s="139">
        <f t="shared" si="3"/>
        <v>0</v>
      </c>
      <c r="T17" s="144"/>
      <c r="U17" s="27" t="s">
        <v>31</v>
      </c>
      <c r="V17" s="139">
        <f t="shared" si="3"/>
        <v>0</v>
      </c>
      <c r="W17" s="139">
        <f t="shared" si="3"/>
        <v>0</v>
      </c>
      <c r="X17" s="139">
        <f t="shared" si="3"/>
        <v>0</v>
      </c>
      <c r="Y17" s="139">
        <f t="shared" si="3"/>
        <v>0</v>
      </c>
      <c r="Z17" s="139">
        <f t="shared" si="3"/>
        <v>0</v>
      </c>
      <c r="AA17" s="139">
        <f t="shared" si="3"/>
        <v>0</v>
      </c>
      <c r="AB17" s="139">
        <f t="shared" si="3"/>
        <v>0</v>
      </c>
      <c r="AC17" s="139">
        <f t="shared" si="3"/>
        <v>0</v>
      </c>
      <c r="AD17" s="139">
        <f t="shared" si="3"/>
        <v>0</v>
      </c>
      <c r="AE17" s="140">
        <f t="shared" si="3"/>
        <v>0</v>
      </c>
    </row>
    <row r="18" spans="4:31" ht="12.75">
      <c r="D18" s="19"/>
      <c r="E18" s="19"/>
      <c r="F18" s="18"/>
      <c r="G18" s="1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2.75" outlineLevel="1">
      <c r="A19" s="87" t="str">
        <f aca="true" t="shared" si="4" ref="A19:C27">A5</f>
        <v>Turbines E- 82 + elevator</v>
      </c>
      <c r="B19" s="87">
        <f t="shared" si="4"/>
        <v>10</v>
      </c>
      <c r="C19" s="134">
        <f t="shared" si="4"/>
        <v>2112900</v>
      </c>
      <c r="D19" s="134">
        <f>B19*C19</f>
        <v>21129000</v>
      </c>
      <c r="E19" s="134">
        <f>E5</f>
        <v>72.9542112</v>
      </c>
      <c r="F19" s="133">
        <v>15</v>
      </c>
      <c r="G19" s="134">
        <f>E19/F19</f>
        <v>4.8636140800000005</v>
      </c>
      <c r="H19" s="56"/>
      <c r="I19" s="56"/>
      <c r="J19" s="56">
        <f>$G19</f>
        <v>4.8636140800000005</v>
      </c>
      <c r="K19" s="56">
        <f aca="true" t="shared" si="5" ref="J19:AD28">$G19</f>
        <v>4.8636140800000005</v>
      </c>
      <c r="L19" s="56">
        <f t="shared" si="5"/>
        <v>4.8636140800000005</v>
      </c>
      <c r="M19" s="56">
        <f t="shared" si="5"/>
        <v>4.8636140800000005</v>
      </c>
      <c r="N19" s="56">
        <f t="shared" si="5"/>
        <v>4.8636140800000005</v>
      </c>
      <c r="O19" s="56">
        <f t="shared" si="5"/>
        <v>4.8636140800000005</v>
      </c>
      <c r="P19" s="56">
        <f t="shared" si="5"/>
        <v>4.8636140800000005</v>
      </c>
      <c r="Q19" s="56">
        <f t="shared" si="5"/>
        <v>4.8636140800000005</v>
      </c>
      <c r="R19" s="56">
        <f t="shared" si="5"/>
        <v>4.8636140800000005</v>
      </c>
      <c r="S19" s="56">
        <f t="shared" si="5"/>
        <v>4.8636140800000005</v>
      </c>
      <c r="T19" s="18"/>
      <c r="U19" s="87" t="str">
        <f aca="true" t="shared" si="6" ref="U19:U29">U5</f>
        <v>Turbines E- 82 + elevator</v>
      </c>
      <c r="V19" s="56">
        <f t="shared" si="5"/>
        <v>4.8636140800000005</v>
      </c>
      <c r="W19" s="56">
        <f t="shared" si="5"/>
        <v>4.8636140800000005</v>
      </c>
      <c r="X19" s="56">
        <f t="shared" si="5"/>
        <v>4.8636140800000005</v>
      </c>
      <c r="Y19" s="56">
        <f t="shared" si="5"/>
        <v>4.8636140800000005</v>
      </c>
      <c r="Z19" s="56">
        <f t="shared" si="5"/>
        <v>4.8636140800000005</v>
      </c>
      <c r="AA19" s="56">
        <f t="shared" si="5"/>
        <v>4.8636140800000005</v>
      </c>
      <c r="AB19" s="56">
        <f t="shared" si="5"/>
        <v>4.8636140800000005</v>
      </c>
      <c r="AC19" s="56">
        <f t="shared" si="5"/>
        <v>4.8636140800000005</v>
      </c>
      <c r="AD19" s="56">
        <f t="shared" si="5"/>
        <v>4.8636140800000005</v>
      </c>
      <c r="AE19" s="56">
        <f aca="true" t="shared" si="7" ref="AD19:AE28">$G19</f>
        <v>4.8636140800000005</v>
      </c>
    </row>
    <row r="20" spans="1:31" ht="12.75" outlineLevel="1">
      <c r="A20" s="87" t="str">
        <f t="shared" si="4"/>
        <v>600/10 kV Transformator</v>
      </c>
      <c r="B20" s="87">
        <f t="shared" si="4"/>
        <v>10</v>
      </c>
      <c r="C20" s="134">
        <f t="shared" si="4"/>
        <v>61000</v>
      </c>
      <c r="D20" s="134">
        <f aca="true" t="shared" si="8" ref="D20:D29">B20*C20</f>
        <v>610000</v>
      </c>
      <c r="E20" s="134">
        <f aca="true" t="shared" si="9" ref="E20:E29">E6</f>
        <v>2.106208</v>
      </c>
      <c r="F20" s="133">
        <v>15</v>
      </c>
      <c r="G20" s="134">
        <f aca="true" t="shared" si="10" ref="G20:G28">E20/F20</f>
        <v>0.14041386666666666</v>
      </c>
      <c r="H20" s="56"/>
      <c r="I20" s="56"/>
      <c r="J20" s="56">
        <f aca="true" t="shared" si="11" ref="J20:Z20">$G20</f>
        <v>0.14041386666666666</v>
      </c>
      <c r="K20" s="56">
        <f t="shared" si="11"/>
        <v>0.14041386666666666</v>
      </c>
      <c r="L20" s="56">
        <f t="shared" si="11"/>
        <v>0.14041386666666666</v>
      </c>
      <c r="M20" s="56">
        <f t="shared" si="11"/>
        <v>0.14041386666666666</v>
      </c>
      <c r="N20" s="56">
        <f t="shared" si="11"/>
        <v>0.14041386666666666</v>
      </c>
      <c r="O20" s="56">
        <f t="shared" si="11"/>
        <v>0.14041386666666666</v>
      </c>
      <c r="P20" s="56">
        <f t="shared" si="11"/>
        <v>0.14041386666666666</v>
      </c>
      <c r="Q20" s="56">
        <f t="shared" si="11"/>
        <v>0.14041386666666666</v>
      </c>
      <c r="R20" s="56">
        <f t="shared" si="11"/>
        <v>0.14041386666666666</v>
      </c>
      <c r="S20" s="56">
        <f t="shared" si="11"/>
        <v>0.14041386666666666</v>
      </c>
      <c r="T20" s="18"/>
      <c r="U20" s="87" t="str">
        <f t="shared" si="6"/>
        <v>600/10 kV Transformator</v>
      </c>
      <c r="V20" s="56">
        <f t="shared" si="11"/>
        <v>0.14041386666666666</v>
      </c>
      <c r="W20" s="56">
        <f t="shared" si="11"/>
        <v>0.14041386666666666</v>
      </c>
      <c r="X20" s="56">
        <f t="shared" si="11"/>
        <v>0.14041386666666666</v>
      </c>
      <c r="Y20" s="56">
        <f t="shared" si="11"/>
        <v>0.14041386666666666</v>
      </c>
      <c r="Z20" s="56">
        <f t="shared" si="11"/>
        <v>0.14041386666666666</v>
      </c>
      <c r="AA20" s="56">
        <f t="shared" si="5"/>
        <v>0.14041386666666666</v>
      </c>
      <c r="AB20" s="56">
        <f t="shared" si="5"/>
        <v>0.14041386666666666</v>
      </c>
      <c r="AC20" s="56">
        <f t="shared" si="5"/>
        <v>0.14041386666666666</v>
      </c>
      <c r="AD20" s="56">
        <f t="shared" si="7"/>
        <v>0.14041386666666666</v>
      </c>
      <c r="AE20" s="56">
        <f t="shared" si="7"/>
        <v>0.14041386666666666</v>
      </c>
    </row>
    <row r="21" spans="1:31" ht="12.75" outlineLevel="1">
      <c r="A21" s="87" t="str">
        <f t="shared" si="4"/>
        <v>Transportation</v>
      </c>
      <c r="B21" s="87">
        <f t="shared" si="4"/>
        <v>10</v>
      </c>
      <c r="C21" s="134">
        <f t="shared" si="4"/>
        <v>110500</v>
      </c>
      <c r="D21" s="134">
        <f t="shared" si="8"/>
        <v>1105000</v>
      </c>
      <c r="E21" s="134">
        <f t="shared" si="9"/>
        <v>3.815344</v>
      </c>
      <c r="F21" s="133">
        <v>15</v>
      </c>
      <c r="G21" s="134">
        <f t="shared" si="10"/>
        <v>0.25435626666666666</v>
      </c>
      <c r="H21" s="56"/>
      <c r="I21" s="56"/>
      <c r="J21" s="56">
        <f t="shared" si="5"/>
        <v>0.25435626666666666</v>
      </c>
      <c r="K21" s="56">
        <f t="shared" si="5"/>
        <v>0.25435626666666666</v>
      </c>
      <c r="L21" s="56">
        <f t="shared" si="5"/>
        <v>0.25435626666666666</v>
      </c>
      <c r="M21" s="56">
        <f t="shared" si="5"/>
        <v>0.25435626666666666</v>
      </c>
      <c r="N21" s="56">
        <f t="shared" si="5"/>
        <v>0.25435626666666666</v>
      </c>
      <c r="O21" s="56">
        <f t="shared" si="5"/>
        <v>0.25435626666666666</v>
      </c>
      <c r="P21" s="56">
        <f t="shared" si="5"/>
        <v>0.25435626666666666</v>
      </c>
      <c r="Q21" s="56">
        <f t="shared" si="5"/>
        <v>0.25435626666666666</v>
      </c>
      <c r="R21" s="56">
        <f t="shared" si="5"/>
        <v>0.25435626666666666</v>
      </c>
      <c r="S21" s="56">
        <f t="shared" si="5"/>
        <v>0.25435626666666666</v>
      </c>
      <c r="T21" s="18"/>
      <c r="U21" s="87" t="str">
        <f t="shared" si="6"/>
        <v>Transportation</v>
      </c>
      <c r="V21" s="56">
        <f t="shared" si="5"/>
        <v>0.25435626666666666</v>
      </c>
      <c r="W21" s="56">
        <f t="shared" si="5"/>
        <v>0.25435626666666666</v>
      </c>
      <c r="X21" s="56">
        <f t="shared" si="5"/>
        <v>0.25435626666666666</v>
      </c>
      <c r="Y21" s="56">
        <f t="shared" si="5"/>
        <v>0.25435626666666666</v>
      </c>
      <c r="Z21" s="56">
        <f t="shared" si="5"/>
        <v>0.25435626666666666</v>
      </c>
      <c r="AA21" s="56">
        <f t="shared" si="5"/>
        <v>0.25435626666666666</v>
      </c>
      <c r="AB21" s="56">
        <f t="shared" si="5"/>
        <v>0.25435626666666666</v>
      </c>
      <c r="AC21" s="56">
        <f t="shared" si="5"/>
        <v>0.25435626666666666</v>
      </c>
      <c r="AD21" s="56">
        <f t="shared" si="7"/>
        <v>0.25435626666666666</v>
      </c>
      <c r="AE21" s="56">
        <f t="shared" si="7"/>
        <v>0.25435626666666666</v>
      </c>
    </row>
    <row r="22" spans="1:31" ht="12.75" outlineLevel="1">
      <c r="A22" s="87" t="str">
        <f t="shared" si="4"/>
        <v>Foundation</v>
      </c>
      <c r="B22" s="87">
        <f t="shared" si="4"/>
        <v>10</v>
      </c>
      <c r="C22" s="134">
        <f t="shared" si="4"/>
        <v>82500</v>
      </c>
      <c r="D22" s="134">
        <f t="shared" si="8"/>
        <v>825000</v>
      </c>
      <c r="E22" s="134">
        <f t="shared" si="9"/>
        <v>2.84856</v>
      </c>
      <c r="F22" s="133">
        <v>15</v>
      </c>
      <c r="G22" s="134">
        <f t="shared" si="10"/>
        <v>0.189904</v>
      </c>
      <c r="H22" s="56"/>
      <c r="I22" s="56"/>
      <c r="J22" s="56">
        <f t="shared" si="5"/>
        <v>0.189904</v>
      </c>
      <c r="K22" s="56">
        <f t="shared" si="5"/>
        <v>0.189904</v>
      </c>
      <c r="L22" s="56">
        <f t="shared" si="5"/>
        <v>0.189904</v>
      </c>
      <c r="M22" s="56">
        <f t="shared" si="5"/>
        <v>0.189904</v>
      </c>
      <c r="N22" s="56">
        <f t="shared" si="5"/>
        <v>0.189904</v>
      </c>
      <c r="O22" s="56">
        <f t="shared" si="5"/>
        <v>0.189904</v>
      </c>
      <c r="P22" s="56">
        <f t="shared" si="5"/>
        <v>0.189904</v>
      </c>
      <c r="Q22" s="56">
        <f t="shared" si="5"/>
        <v>0.189904</v>
      </c>
      <c r="R22" s="56">
        <f t="shared" si="5"/>
        <v>0.189904</v>
      </c>
      <c r="S22" s="56">
        <f t="shared" si="5"/>
        <v>0.189904</v>
      </c>
      <c r="T22" s="18"/>
      <c r="U22" s="87" t="str">
        <f t="shared" si="6"/>
        <v>Foundation</v>
      </c>
      <c r="V22" s="56">
        <f t="shared" si="5"/>
        <v>0.189904</v>
      </c>
      <c r="W22" s="56">
        <f t="shared" si="5"/>
        <v>0.189904</v>
      </c>
      <c r="X22" s="56">
        <f t="shared" si="5"/>
        <v>0.189904</v>
      </c>
      <c r="Y22" s="56">
        <f t="shared" si="5"/>
        <v>0.189904</v>
      </c>
      <c r="Z22" s="56">
        <f t="shared" si="5"/>
        <v>0.189904</v>
      </c>
      <c r="AA22" s="56">
        <f t="shared" si="5"/>
        <v>0.189904</v>
      </c>
      <c r="AB22" s="56">
        <f t="shared" si="5"/>
        <v>0.189904</v>
      </c>
      <c r="AC22" s="56">
        <f t="shared" si="5"/>
        <v>0.189904</v>
      </c>
      <c r="AD22" s="56">
        <f t="shared" si="7"/>
        <v>0.189904</v>
      </c>
      <c r="AE22" s="56">
        <f t="shared" si="7"/>
        <v>0.189904</v>
      </c>
    </row>
    <row r="23" spans="1:31" ht="12.75" outlineLevel="1">
      <c r="A23" s="87" t="str">
        <f t="shared" si="4"/>
        <v>Roads</v>
      </c>
      <c r="B23" s="87">
        <f t="shared" si="4"/>
        <v>10</v>
      </c>
      <c r="C23" s="134">
        <f t="shared" si="4"/>
        <v>34755</v>
      </c>
      <c r="D23" s="134">
        <f t="shared" si="8"/>
        <v>347550</v>
      </c>
      <c r="E23" s="134">
        <f t="shared" si="9"/>
        <v>1.20002064</v>
      </c>
      <c r="F23" s="133">
        <v>15</v>
      </c>
      <c r="G23" s="134">
        <f t="shared" si="10"/>
        <v>0.080001376</v>
      </c>
      <c r="H23" s="56"/>
      <c r="I23" s="56"/>
      <c r="J23" s="56">
        <f t="shared" si="5"/>
        <v>0.080001376</v>
      </c>
      <c r="K23" s="56">
        <f t="shared" si="5"/>
        <v>0.080001376</v>
      </c>
      <c r="L23" s="56">
        <f t="shared" si="5"/>
        <v>0.080001376</v>
      </c>
      <c r="M23" s="56">
        <f t="shared" si="5"/>
        <v>0.080001376</v>
      </c>
      <c r="N23" s="56">
        <f t="shared" si="5"/>
        <v>0.080001376</v>
      </c>
      <c r="O23" s="56">
        <f t="shared" si="5"/>
        <v>0.080001376</v>
      </c>
      <c r="P23" s="56">
        <f t="shared" si="5"/>
        <v>0.080001376</v>
      </c>
      <c r="Q23" s="56">
        <f t="shared" si="5"/>
        <v>0.080001376</v>
      </c>
      <c r="R23" s="56">
        <f t="shared" si="5"/>
        <v>0.080001376</v>
      </c>
      <c r="S23" s="56">
        <f t="shared" si="5"/>
        <v>0.080001376</v>
      </c>
      <c r="T23" s="18"/>
      <c r="U23" s="87" t="str">
        <f t="shared" si="6"/>
        <v>Roads</v>
      </c>
      <c r="V23" s="56">
        <f t="shared" si="5"/>
        <v>0.080001376</v>
      </c>
      <c r="W23" s="56">
        <f t="shared" si="5"/>
        <v>0.080001376</v>
      </c>
      <c r="X23" s="56">
        <f t="shared" si="5"/>
        <v>0.080001376</v>
      </c>
      <c r="Y23" s="56">
        <f t="shared" si="5"/>
        <v>0.080001376</v>
      </c>
      <c r="Z23" s="56">
        <f t="shared" si="5"/>
        <v>0.080001376</v>
      </c>
      <c r="AA23" s="56">
        <f t="shared" si="5"/>
        <v>0.080001376</v>
      </c>
      <c r="AB23" s="56">
        <f t="shared" si="5"/>
        <v>0.080001376</v>
      </c>
      <c r="AC23" s="56">
        <f t="shared" si="5"/>
        <v>0.080001376</v>
      </c>
      <c r="AD23" s="56">
        <f t="shared" si="7"/>
        <v>0.080001376</v>
      </c>
      <c r="AE23" s="56">
        <f t="shared" si="7"/>
        <v>0.080001376</v>
      </c>
    </row>
    <row r="24" spans="1:31" ht="12.75" outlineLevel="1">
      <c r="A24" s="87" t="str">
        <f t="shared" si="4"/>
        <v>Designing</v>
      </c>
      <c r="B24" s="87">
        <f t="shared" si="4"/>
        <v>10</v>
      </c>
      <c r="C24" s="134">
        <f t="shared" si="4"/>
        <v>15000</v>
      </c>
      <c r="D24" s="134">
        <f t="shared" si="8"/>
        <v>150000</v>
      </c>
      <c r="E24" s="134">
        <f t="shared" si="9"/>
        <v>0.51792</v>
      </c>
      <c r="F24" s="133">
        <v>15</v>
      </c>
      <c r="G24" s="134">
        <f t="shared" si="10"/>
        <v>0.034528</v>
      </c>
      <c r="H24" s="56"/>
      <c r="I24" s="56"/>
      <c r="J24" s="56">
        <f t="shared" si="5"/>
        <v>0.034528</v>
      </c>
      <c r="K24" s="56">
        <f t="shared" si="5"/>
        <v>0.034528</v>
      </c>
      <c r="L24" s="56">
        <f t="shared" si="5"/>
        <v>0.034528</v>
      </c>
      <c r="M24" s="56">
        <f t="shared" si="5"/>
        <v>0.034528</v>
      </c>
      <c r="N24" s="56">
        <f t="shared" si="5"/>
        <v>0.034528</v>
      </c>
      <c r="O24" s="56">
        <f t="shared" si="5"/>
        <v>0.034528</v>
      </c>
      <c r="P24" s="56">
        <f t="shared" si="5"/>
        <v>0.034528</v>
      </c>
      <c r="Q24" s="56">
        <f t="shared" si="5"/>
        <v>0.034528</v>
      </c>
      <c r="R24" s="56">
        <f t="shared" si="5"/>
        <v>0.034528</v>
      </c>
      <c r="S24" s="56">
        <f t="shared" si="5"/>
        <v>0.034528</v>
      </c>
      <c r="T24" s="18"/>
      <c r="U24" s="87" t="str">
        <f t="shared" si="6"/>
        <v>Designing</v>
      </c>
      <c r="V24" s="56">
        <f t="shared" si="5"/>
        <v>0.034528</v>
      </c>
      <c r="W24" s="56">
        <f t="shared" si="5"/>
        <v>0.034528</v>
      </c>
      <c r="X24" s="56">
        <f t="shared" si="5"/>
        <v>0.034528</v>
      </c>
      <c r="Y24" s="56">
        <f t="shared" si="5"/>
        <v>0.034528</v>
      </c>
      <c r="Z24" s="56">
        <f t="shared" si="5"/>
        <v>0.034528</v>
      </c>
      <c r="AA24" s="56">
        <f t="shared" si="5"/>
        <v>0.034528</v>
      </c>
      <c r="AB24" s="56">
        <f t="shared" si="5"/>
        <v>0.034528</v>
      </c>
      <c r="AC24" s="56">
        <f t="shared" si="5"/>
        <v>0.034528</v>
      </c>
      <c r="AD24" s="56">
        <f t="shared" si="7"/>
        <v>0.034528</v>
      </c>
      <c r="AE24" s="56">
        <f t="shared" si="7"/>
        <v>0.034528</v>
      </c>
    </row>
    <row r="25" spans="1:31" ht="12.75" outlineLevel="1">
      <c r="A25" s="87" t="str">
        <f t="shared" si="4"/>
        <v>Grid connection fee</v>
      </c>
      <c r="B25" s="87">
        <f t="shared" si="4"/>
        <v>20</v>
      </c>
      <c r="C25" s="134">
        <f t="shared" si="4"/>
        <v>146547.72937905468</v>
      </c>
      <c r="D25" s="134">
        <f t="shared" si="8"/>
        <v>2930954.5875810934</v>
      </c>
      <c r="E25" s="134">
        <f t="shared" si="9"/>
        <v>10.119999999999997</v>
      </c>
      <c r="F25" s="133">
        <v>15</v>
      </c>
      <c r="G25" s="134">
        <f t="shared" si="10"/>
        <v>0.6746666666666665</v>
      </c>
      <c r="H25" s="56"/>
      <c r="I25" s="56"/>
      <c r="J25" s="56">
        <f>$G25</f>
        <v>0.6746666666666665</v>
      </c>
      <c r="K25" s="56">
        <f>$G25</f>
        <v>0.6746666666666665</v>
      </c>
      <c r="L25" s="56">
        <f>$G25</f>
        <v>0.6746666666666665</v>
      </c>
      <c r="M25" s="56">
        <f>$G25</f>
        <v>0.6746666666666665</v>
      </c>
      <c r="N25" s="56">
        <f t="shared" si="5"/>
        <v>0.6746666666666665</v>
      </c>
      <c r="O25" s="56">
        <f t="shared" si="5"/>
        <v>0.6746666666666665</v>
      </c>
      <c r="P25" s="56">
        <f t="shared" si="5"/>
        <v>0.6746666666666665</v>
      </c>
      <c r="Q25" s="56">
        <f t="shared" si="5"/>
        <v>0.6746666666666665</v>
      </c>
      <c r="R25" s="56">
        <f t="shared" si="5"/>
        <v>0.6746666666666665</v>
      </c>
      <c r="S25" s="56">
        <f t="shared" si="5"/>
        <v>0.6746666666666665</v>
      </c>
      <c r="T25" s="18"/>
      <c r="U25" s="87" t="str">
        <f t="shared" si="6"/>
        <v>Grid connection fee</v>
      </c>
      <c r="V25" s="56">
        <f t="shared" si="5"/>
        <v>0.6746666666666665</v>
      </c>
      <c r="W25" s="56">
        <f t="shared" si="5"/>
        <v>0.6746666666666665</v>
      </c>
      <c r="X25" s="56">
        <f t="shared" si="5"/>
        <v>0.6746666666666665</v>
      </c>
      <c r="Y25" s="56">
        <f t="shared" si="5"/>
        <v>0.6746666666666665</v>
      </c>
      <c r="Z25" s="56">
        <f t="shared" si="5"/>
        <v>0.6746666666666665</v>
      </c>
      <c r="AA25" s="56">
        <f t="shared" si="5"/>
        <v>0.6746666666666665</v>
      </c>
      <c r="AB25" s="56">
        <f t="shared" si="5"/>
        <v>0.6746666666666665</v>
      </c>
      <c r="AC25" s="56">
        <f t="shared" si="5"/>
        <v>0.6746666666666665</v>
      </c>
      <c r="AD25" s="56">
        <f t="shared" si="7"/>
        <v>0.6746666666666665</v>
      </c>
      <c r="AE25" s="56">
        <f t="shared" si="7"/>
        <v>0.6746666666666665</v>
      </c>
    </row>
    <row r="26" spans="1:31" ht="12" customHeight="1" outlineLevel="1">
      <c r="A26" s="87" t="str">
        <f t="shared" si="4"/>
        <v>Transformator substation erection</v>
      </c>
      <c r="B26" s="87">
        <f t="shared" si="4"/>
        <v>1</v>
      </c>
      <c r="C26" s="134">
        <f t="shared" si="4"/>
        <v>1605000</v>
      </c>
      <c r="D26" s="134">
        <f t="shared" si="8"/>
        <v>1605000</v>
      </c>
      <c r="E26" s="134">
        <f t="shared" si="9"/>
        <v>5.541744</v>
      </c>
      <c r="F26" s="133">
        <v>15</v>
      </c>
      <c r="G26" s="134">
        <f>E26/F26</f>
        <v>0.3694496</v>
      </c>
      <c r="H26" s="56"/>
      <c r="I26" s="56"/>
      <c r="J26" s="56">
        <f>$G26</f>
        <v>0.3694496</v>
      </c>
      <c r="K26" s="56">
        <f t="shared" si="5"/>
        <v>0.3694496</v>
      </c>
      <c r="L26" s="56">
        <f t="shared" si="5"/>
        <v>0.3694496</v>
      </c>
      <c r="M26" s="56">
        <f t="shared" si="5"/>
        <v>0.3694496</v>
      </c>
      <c r="N26" s="56">
        <f t="shared" si="5"/>
        <v>0.3694496</v>
      </c>
      <c r="O26" s="56">
        <f t="shared" si="5"/>
        <v>0.3694496</v>
      </c>
      <c r="P26" s="56">
        <f t="shared" si="5"/>
        <v>0.3694496</v>
      </c>
      <c r="Q26" s="56">
        <f t="shared" si="5"/>
        <v>0.3694496</v>
      </c>
      <c r="R26" s="56">
        <f t="shared" si="5"/>
        <v>0.3694496</v>
      </c>
      <c r="S26" s="56">
        <f t="shared" si="5"/>
        <v>0.3694496</v>
      </c>
      <c r="T26" s="18"/>
      <c r="U26" s="87" t="str">
        <f t="shared" si="6"/>
        <v>Transformator substation erection</v>
      </c>
      <c r="V26" s="56">
        <f t="shared" si="5"/>
        <v>0.3694496</v>
      </c>
      <c r="W26" s="56">
        <f t="shared" si="5"/>
        <v>0.3694496</v>
      </c>
      <c r="X26" s="56">
        <f t="shared" si="5"/>
        <v>0.3694496</v>
      </c>
      <c r="Y26" s="56">
        <f t="shared" si="5"/>
        <v>0.3694496</v>
      </c>
      <c r="Z26" s="56">
        <f t="shared" si="5"/>
        <v>0.3694496</v>
      </c>
      <c r="AA26" s="56">
        <f t="shared" si="5"/>
        <v>0.3694496</v>
      </c>
      <c r="AB26" s="56">
        <f t="shared" si="5"/>
        <v>0.3694496</v>
      </c>
      <c r="AC26" s="56">
        <f t="shared" si="5"/>
        <v>0.3694496</v>
      </c>
      <c r="AD26" s="56">
        <f t="shared" si="7"/>
        <v>0.3694496</v>
      </c>
      <c r="AE26" s="56">
        <f t="shared" si="7"/>
        <v>0.3694496</v>
      </c>
    </row>
    <row r="27" spans="1:31" ht="12.75" outlineLevel="1">
      <c r="A27" s="87" t="str">
        <f t="shared" si="4"/>
        <v>20 kV cables</v>
      </c>
      <c r="B27" s="87">
        <f t="shared" si="4"/>
        <v>10</v>
      </c>
      <c r="C27" s="134">
        <f t="shared" si="4"/>
        <v>30000</v>
      </c>
      <c r="D27" s="134">
        <f t="shared" si="8"/>
        <v>300000</v>
      </c>
      <c r="E27" s="134">
        <f t="shared" si="9"/>
        <v>1.03584</v>
      </c>
      <c r="F27" s="133">
        <v>15</v>
      </c>
      <c r="G27" s="134">
        <f t="shared" si="10"/>
        <v>0.069056</v>
      </c>
      <c r="H27" s="56"/>
      <c r="I27" s="56"/>
      <c r="J27" s="56">
        <f>$G27</f>
        <v>0.069056</v>
      </c>
      <c r="K27" s="56">
        <f t="shared" si="5"/>
        <v>0.069056</v>
      </c>
      <c r="L27" s="56">
        <f t="shared" si="5"/>
        <v>0.069056</v>
      </c>
      <c r="M27" s="56">
        <f t="shared" si="5"/>
        <v>0.069056</v>
      </c>
      <c r="N27" s="56">
        <f t="shared" si="5"/>
        <v>0.069056</v>
      </c>
      <c r="O27" s="56">
        <f t="shared" si="5"/>
        <v>0.069056</v>
      </c>
      <c r="P27" s="56">
        <f t="shared" si="5"/>
        <v>0.069056</v>
      </c>
      <c r="Q27" s="56">
        <f t="shared" si="5"/>
        <v>0.069056</v>
      </c>
      <c r="R27" s="56">
        <f t="shared" si="5"/>
        <v>0.069056</v>
      </c>
      <c r="S27" s="56">
        <f t="shared" si="5"/>
        <v>0.069056</v>
      </c>
      <c r="T27" s="18"/>
      <c r="U27" s="87" t="str">
        <f t="shared" si="6"/>
        <v>20 kV cables</v>
      </c>
      <c r="V27" s="56">
        <f t="shared" si="5"/>
        <v>0.069056</v>
      </c>
      <c r="W27" s="56">
        <f t="shared" si="5"/>
        <v>0.069056</v>
      </c>
      <c r="X27" s="56">
        <f t="shared" si="5"/>
        <v>0.069056</v>
      </c>
      <c r="Y27" s="56">
        <f t="shared" si="5"/>
        <v>0.069056</v>
      </c>
      <c r="Z27" s="56">
        <f t="shared" si="5"/>
        <v>0.069056</v>
      </c>
      <c r="AA27" s="56">
        <f t="shared" si="5"/>
        <v>0.069056</v>
      </c>
      <c r="AB27" s="56">
        <f t="shared" si="5"/>
        <v>0.069056</v>
      </c>
      <c r="AC27" s="56">
        <f t="shared" si="5"/>
        <v>0.069056</v>
      </c>
      <c r="AD27" s="56">
        <f t="shared" si="7"/>
        <v>0.069056</v>
      </c>
      <c r="AE27" s="56">
        <f t="shared" si="7"/>
        <v>0.069056</v>
      </c>
    </row>
    <row r="28" spans="1:31" ht="12.75" outlineLevel="1">
      <c r="A28" s="87" t="str">
        <f aca="true" t="shared" si="12" ref="A28:C29">A14</f>
        <v>Crane, crane transportation</v>
      </c>
      <c r="B28" s="87">
        <f t="shared" si="12"/>
        <v>10</v>
      </c>
      <c r="C28" s="134">
        <f t="shared" si="12"/>
        <v>66700</v>
      </c>
      <c r="D28" s="134">
        <f t="shared" si="8"/>
        <v>667000</v>
      </c>
      <c r="E28" s="134">
        <f t="shared" si="9"/>
        <v>2.3030176</v>
      </c>
      <c r="F28" s="133">
        <v>15</v>
      </c>
      <c r="G28" s="134">
        <f t="shared" si="10"/>
        <v>0.15353450666666665</v>
      </c>
      <c r="H28" s="56"/>
      <c r="I28" s="56"/>
      <c r="J28" s="56">
        <f t="shared" si="5"/>
        <v>0.15353450666666665</v>
      </c>
      <c r="K28" s="56">
        <f t="shared" si="5"/>
        <v>0.15353450666666665</v>
      </c>
      <c r="L28" s="56">
        <f t="shared" si="5"/>
        <v>0.15353450666666665</v>
      </c>
      <c r="M28" s="56">
        <f t="shared" si="5"/>
        <v>0.15353450666666665</v>
      </c>
      <c r="N28" s="56">
        <f t="shared" si="5"/>
        <v>0.15353450666666665</v>
      </c>
      <c r="O28" s="56">
        <f t="shared" si="5"/>
        <v>0.15353450666666665</v>
      </c>
      <c r="P28" s="56">
        <f t="shared" si="5"/>
        <v>0.15353450666666665</v>
      </c>
      <c r="Q28" s="56">
        <f t="shared" si="5"/>
        <v>0.15353450666666665</v>
      </c>
      <c r="R28" s="56">
        <f t="shared" si="5"/>
        <v>0.15353450666666665</v>
      </c>
      <c r="S28" s="56">
        <f t="shared" si="5"/>
        <v>0.15353450666666665</v>
      </c>
      <c r="T28" s="18"/>
      <c r="U28" s="87" t="str">
        <f t="shared" si="6"/>
        <v>Crane, crane transportation</v>
      </c>
      <c r="V28" s="56">
        <f t="shared" si="5"/>
        <v>0.15353450666666665</v>
      </c>
      <c r="W28" s="56">
        <f t="shared" si="5"/>
        <v>0.15353450666666665</v>
      </c>
      <c r="X28" s="56">
        <f t="shared" si="5"/>
        <v>0.15353450666666665</v>
      </c>
      <c r="Y28" s="56">
        <f t="shared" si="5"/>
        <v>0.15353450666666665</v>
      </c>
      <c r="Z28" s="56">
        <f t="shared" si="5"/>
        <v>0.15353450666666665</v>
      </c>
      <c r="AA28" s="56">
        <f t="shared" si="5"/>
        <v>0.15353450666666665</v>
      </c>
      <c r="AB28" s="56">
        <f t="shared" si="5"/>
        <v>0.15353450666666665</v>
      </c>
      <c r="AC28" s="56">
        <f t="shared" si="5"/>
        <v>0.15353450666666665</v>
      </c>
      <c r="AD28" s="56">
        <f t="shared" si="7"/>
        <v>0.15353450666666665</v>
      </c>
      <c r="AE28" s="56">
        <f t="shared" si="7"/>
        <v>0.15353450666666665</v>
      </c>
    </row>
    <row r="29" spans="1:31" ht="12.75" outlineLevel="1">
      <c r="A29" s="87" t="str">
        <f t="shared" si="12"/>
        <v>Documentation</v>
      </c>
      <c r="B29" s="87">
        <f t="shared" si="12"/>
        <v>1</v>
      </c>
      <c r="C29" s="134">
        <f t="shared" si="12"/>
        <v>115848.00741427248</v>
      </c>
      <c r="D29" s="134">
        <f t="shared" si="8"/>
        <v>115848.00741427248</v>
      </c>
      <c r="E29" s="134">
        <f t="shared" si="9"/>
        <v>0.4</v>
      </c>
      <c r="F29" s="134"/>
      <c r="G29" s="134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18"/>
      <c r="U29" s="87" t="str">
        <f t="shared" si="6"/>
        <v>Documentation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4:31" ht="13.5" outlineLevel="1" thickBot="1">
      <c r="D30" s="19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8" customFormat="1" ht="13.5" thickBot="1">
      <c r="A31" s="27" t="s">
        <v>36</v>
      </c>
      <c r="B31" s="124"/>
      <c r="C31" s="124"/>
      <c r="D31" s="139">
        <f>SUM(D19:D30)</f>
        <v>29785352.59499537</v>
      </c>
      <c r="E31" s="139">
        <f>SUM(E19:E30)</f>
        <v>102.84286544000001</v>
      </c>
      <c r="F31" s="139"/>
      <c r="G31" s="139">
        <f aca="true" t="shared" si="13" ref="G31:AE31">SUM(G19:G30)</f>
        <v>6.829524362666668</v>
      </c>
      <c r="H31" s="139">
        <f t="shared" si="13"/>
        <v>0</v>
      </c>
      <c r="I31" s="139">
        <f>SUM(I19:I30)</f>
        <v>0</v>
      </c>
      <c r="J31" s="139">
        <f>SUM(J19:J30)</f>
        <v>6.829524362666668</v>
      </c>
      <c r="K31" s="139">
        <f t="shared" si="13"/>
        <v>6.829524362666668</v>
      </c>
      <c r="L31" s="139">
        <f t="shared" si="13"/>
        <v>6.829524362666668</v>
      </c>
      <c r="M31" s="139">
        <f>SUM(M19:M30)</f>
        <v>6.829524362666668</v>
      </c>
      <c r="N31" s="139">
        <f t="shared" si="13"/>
        <v>6.829524362666668</v>
      </c>
      <c r="O31" s="139">
        <f t="shared" si="13"/>
        <v>6.829524362666668</v>
      </c>
      <c r="P31" s="139">
        <f t="shared" si="13"/>
        <v>6.829524362666668</v>
      </c>
      <c r="Q31" s="139">
        <f t="shared" si="13"/>
        <v>6.829524362666668</v>
      </c>
      <c r="R31" s="139">
        <f t="shared" si="13"/>
        <v>6.829524362666668</v>
      </c>
      <c r="S31" s="139">
        <f t="shared" si="13"/>
        <v>6.829524362666668</v>
      </c>
      <c r="T31" s="144"/>
      <c r="U31" s="27" t="s">
        <v>36</v>
      </c>
      <c r="V31" s="139">
        <f t="shared" si="13"/>
        <v>6.829524362666668</v>
      </c>
      <c r="W31" s="139">
        <f t="shared" si="13"/>
        <v>6.829524362666668</v>
      </c>
      <c r="X31" s="139">
        <f t="shared" si="13"/>
        <v>6.829524362666668</v>
      </c>
      <c r="Y31" s="139">
        <f t="shared" si="13"/>
        <v>6.829524362666668</v>
      </c>
      <c r="Z31" s="139">
        <f t="shared" si="13"/>
        <v>6.829524362666668</v>
      </c>
      <c r="AA31" s="139">
        <f t="shared" si="13"/>
        <v>6.829524362666668</v>
      </c>
      <c r="AB31" s="139">
        <f t="shared" si="13"/>
        <v>6.829524362666668</v>
      </c>
      <c r="AC31" s="139">
        <f t="shared" si="13"/>
        <v>6.829524362666668</v>
      </c>
      <c r="AD31" s="139">
        <f t="shared" si="13"/>
        <v>6.829524362666668</v>
      </c>
      <c r="AE31" s="140">
        <f t="shared" si="13"/>
        <v>6.829524362666668</v>
      </c>
    </row>
    <row r="32" spans="4:31" ht="13.5" thickBot="1">
      <c r="D32" s="19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8" customFormat="1" ht="13.5" thickBot="1">
      <c r="A33" s="31" t="s">
        <v>141</v>
      </c>
      <c r="B33" s="32"/>
      <c r="C33" s="32"/>
      <c r="D33" s="141"/>
      <c r="E33" s="139"/>
      <c r="F33" s="139"/>
      <c r="G33" s="139"/>
      <c r="H33" s="139">
        <f>H17-H31</f>
        <v>0.4</v>
      </c>
      <c r="I33" s="139">
        <f>H33+I17-I31</f>
        <v>10.492966000000001</v>
      </c>
      <c r="J33" s="139">
        <f>I33+J17-J31</f>
        <v>96.01334107733332</v>
      </c>
      <c r="K33" s="139">
        <f aca="true" t="shared" si="14" ref="K33:S33">J33+K17-K31</f>
        <v>89.18381671466665</v>
      </c>
      <c r="L33" s="139">
        <f t="shared" si="14"/>
        <v>82.35429235199997</v>
      </c>
      <c r="M33" s="139">
        <f t="shared" si="14"/>
        <v>75.5247679893333</v>
      </c>
      <c r="N33" s="139">
        <f t="shared" si="14"/>
        <v>68.69524362666662</v>
      </c>
      <c r="O33" s="139">
        <f t="shared" si="14"/>
        <v>61.86571926399996</v>
      </c>
      <c r="P33" s="139">
        <f t="shared" si="14"/>
        <v>55.03619490133329</v>
      </c>
      <c r="Q33" s="139">
        <f t="shared" si="14"/>
        <v>48.20667053866662</v>
      </c>
      <c r="R33" s="139">
        <f t="shared" si="14"/>
        <v>41.377146175999954</v>
      </c>
      <c r="S33" s="139">
        <f t="shared" si="14"/>
        <v>34.547621813333286</v>
      </c>
      <c r="T33" s="144"/>
      <c r="U33" s="31" t="s">
        <v>141</v>
      </c>
      <c r="V33" s="139">
        <f>S33+V17-V31</f>
        <v>27.71809745066662</v>
      </c>
      <c r="W33" s="139">
        <f aca="true" t="shared" si="15" ref="W33:AE33">V33+W17-W31</f>
        <v>20.88857308799995</v>
      </c>
      <c r="X33" s="139">
        <f t="shared" si="15"/>
        <v>14.059048725333284</v>
      </c>
      <c r="Y33" s="139">
        <f t="shared" si="15"/>
        <v>7.2295243626666155</v>
      </c>
      <c r="Z33" s="139">
        <f t="shared" si="15"/>
        <v>0.39999999999994706</v>
      </c>
      <c r="AA33" s="139">
        <f t="shared" si="15"/>
        <v>-6.429524362666721</v>
      </c>
      <c r="AB33" s="139">
        <f t="shared" si="15"/>
        <v>-13.25904872533339</v>
      </c>
      <c r="AC33" s="139">
        <f t="shared" si="15"/>
        <v>-20.088573088000057</v>
      </c>
      <c r="AD33" s="139">
        <f t="shared" si="15"/>
        <v>-26.918097450666725</v>
      </c>
      <c r="AE33" s="140">
        <f t="shared" si="15"/>
        <v>-33.747621813333396</v>
      </c>
    </row>
    <row r="34" spans="4:30" ht="12.75">
      <c r="D34" s="19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4:32" ht="12.75">
      <c r="D35" s="19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42">
        <v>19</v>
      </c>
      <c r="T35" s="142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F35" s="14">
        <v>20</v>
      </c>
    </row>
    <row r="36" spans="4:30" ht="12.75">
      <c r="D36" s="19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4:30" ht="12.75"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4:30" ht="12.75">
      <c r="D38" s="19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4:30" ht="12.75">
      <c r="D39" s="19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4:30" ht="12.75"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4:30" ht="12.75">
      <c r="D41" s="19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4:30" ht="12.75">
      <c r="D42" s="19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4:30" ht="12.75">
      <c r="D43" s="19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4:30" ht="12.75">
      <c r="D44" s="19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4:30" ht="12.75">
      <c r="D45" s="19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4:30" ht="12.75">
      <c r="D46" s="19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4:30" ht="12.75">
      <c r="D47" s="19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4:30" ht="12.75">
      <c r="D48" s="19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4:30" ht="12.75">
      <c r="D49" s="19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4:30" ht="12.75">
      <c r="D50" s="19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4:30" ht="12.75">
      <c r="D51" s="19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4:30" ht="12.75">
      <c r="D52" s="19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4:30" ht="12.75">
      <c r="D53" s="19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4:30" ht="12.75">
      <c r="D54" s="19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4:30" ht="12.75">
      <c r="D55" s="19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4:30" ht="12.75">
      <c r="D56" s="19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4:30" ht="12.75">
      <c r="D57" s="19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4:30" ht="12.75">
      <c r="D58" s="19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4:30" ht="12.75">
      <c r="D59" s="19"/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4:30" ht="12.75">
      <c r="D60" s="19"/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4:30" ht="12.75">
      <c r="D61" s="19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4:30" ht="12.75">
      <c r="D62" s="19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4:30" ht="12.75"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4:30" ht="12.75">
      <c r="D64" s="19"/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4:30" ht="12.75">
      <c r="D65" s="19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4:30" ht="12.75">
      <c r="D66" s="19"/>
      <c r="E66" s="19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4:30" ht="12.75">
      <c r="D67" s="19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4:30" ht="12.75">
      <c r="D68" s="19"/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4:30" ht="12.75">
      <c r="D69" s="19"/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4:30" ht="12.75">
      <c r="D70" s="19"/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4:30" ht="12.75">
      <c r="D71" s="19"/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4:30" ht="12.75">
      <c r="D72" s="19"/>
      <c r="E72" s="19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4:30" ht="12.75">
      <c r="D73" s="19"/>
      <c r="E73" s="19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4:30" ht="12.75">
      <c r="D74" s="19"/>
      <c r="E74" s="19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4:30" ht="12.75">
      <c r="D75" s="19"/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4:30" ht="12.75">
      <c r="D76" s="19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4:30" ht="12.75">
      <c r="D77" s="19"/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4:30" ht="12.75">
      <c r="D78" s="19"/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4:30" ht="12.75">
      <c r="D79" s="19"/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4:30" ht="12.75">
      <c r="D80" s="19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4:30" ht="12.75">
      <c r="D81" s="19"/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4:30" ht="12.75">
      <c r="D82" s="19"/>
      <c r="E82" s="19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4:30" ht="12.75">
      <c r="D83" s="19"/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4:30" ht="12.75">
      <c r="D84" s="19"/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4:30" ht="12.75">
      <c r="D85" s="19"/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4:30" ht="12.75">
      <c r="D86" s="19"/>
      <c r="E86" s="19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4:30" ht="12.75">
      <c r="D87" s="19"/>
      <c r="E87" s="19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4:30" ht="12.75">
      <c r="D88" s="19"/>
      <c r="E88" s="19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4:30" ht="12.75">
      <c r="D89" s="19"/>
      <c r="E89" s="19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4:30" ht="12.75">
      <c r="D90" s="19"/>
      <c r="E90" s="1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4:30" ht="12.75">
      <c r="D91" s="19"/>
      <c r="E91" s="19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4:30" ht="12.75">
      <c r="D92" s="19"/>
      <c r="E92" s="19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4:30" ht="12.75">
      <c r="D93" s="19"/>
      <c r="E93" s="19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4:30" ht="12.75">
      <c r="D94" s="19"/>
      <c r="E94" s="19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4:30" ht="12.75">
      <c r="D95" s="19"/>
      <c r="E95" s="19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  <headerFooter alignWithMargins="0">
    <oddHeader>&amp;C
&amp;"Arial,Bold Italic"&amp;12Ilgalaikė investicija</oddHeader>
    <oddFooter>&amp;C&amp;"Arial,Italic"Verslo planas
20 MW vėjo elektrinių parkas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P36"/>
  <sheetViews>
    <sheetView zoomScalePageLayoutView="0" workbookViewId="0" topLeftCell="A1">
      <selection activeCell="D28" sqref="D28"/>
    </sheetView>
  </sheetViews>
  <sheetFormatPr defaultColWidth="9.140625" defaultRowHeight="12.75" outlineLevelRow="1"/>
  <cols>
    <col min="1" max="1" width="22.421875" style="2" bestFit="1" customWidth="1"/>
    <col min="2" max="2" width="5.7109375" style="2" bestFit="1" customWidth="1"/>
    <col min="3" max="3" width="6.7109375" style="2" bestFit="1" customWidth="1"/>
    <col min="4" max="4" width="7.7109375" style="2" bestFit="1" customWidth="1"/>
    <col min="5" max="14" width="6.7109375" style="2" bestFit="1" customWidth="1"/>
    <col min="15" max="15" width="6.28125" style="2" bestFit="1" customWidth="1"/>
    <col min="16" max="16384" width="9.140625" style="2" customWidth="1"/>
  </cols>
  <sheetData>
    <row r="1" ht="12.75"/>
    <row r="2" ht="12.75"/>
    <row r="3" ht="12.75"/>
    <row r="4" spans="3:7" ht="12.75">
      <c r="C4" s="3"/>
      <c r="D4" s="3"/>
      <c r="E4" s="3"/>
      <c r="F4" s="3"/>
      <c r="G4" s="3"/>
    </row>
    <row r="5" spans="3:6" ht="12.75">
      <c r="C5" s="3"/>
      <c r="D5" s="3"/>
      <c r="F5" s="3"/>
    </row>
    <row r="6" spans="1:4" ht="12.75">
      <c r="A6" s="40">
        <f>Calculation!B6</f>
        <v>1000000</v>
      </c>
      <c r="C6" s="3"/>
      <c r="D6" s="3"/>
    </row>
    <row r="7" ht="12.75"/>
    <row r="8" spans="1:2" ht="12.75">
      <c r="A8" s="11" t="s">
        <v>142</v>
      </c>
      <c r="B8" s="145">
        <v>7</v>
      </c>
    </row>
    <row r="9" ht="12.75"/>
    <row r="10" spans="2:15" s="5" customFormat="1" ht="12.75">
      <c r="B10" s="151">
        <v>2007</v>
      </c>
      <c r="C10" s="151">
        <v>2008</v>
      </c>
      <c r="D10" s="151">
        <v>2009</v>
      </c>
      <c r="E10" s="151">
        <v>2010</v>
      </c>
      <c r="F10" s="151">
        <v>2011</v>
      </c>
      <c r="G10" s="151">
        <v>2012</v>
      </c>
      <c r="H10" s="151">
        <v>2013</v>
      </c>
      <c r="I10" s="151">
        <v>2014</v>
      </c>
      <c r="J10" s="151">
        <v>2015</v>
      </c>
      <c r="K10" s="151">
        <v>2016</v>
      </c>
      <c r="L10" s="151">
        <v>2017</v>
      </c>
      <c r="M10" s="151">
        <v>2018</v>
      </c>
      <c r="N10" s="151">
        <v>2019</v>
      </c>
      <c r="O10" s="151">
        <v>2020</v>
      </c>
    </row>
    <row r="11" spans="2:15" ht="12.75"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8"/>
    </row>
    <row r="12" spans="1:15" ht="12.75">
      <c r="A12" s="87" t="s">
        <v>31</v>
      </c>
      <c r="B12" s="11">
        <f>'Long-term financing'!H17</f>
        <v>0.4</v>
      </c>
      <c r="C12" s="11">
        <f>'Long-term financing'!I17</f>
        <v>10.092966</v>
      </c>
      <c r="D12" s="11">
        <f>'Long-term financing'!J17</f>
        <v>92.34989944</v>
      </c>
      <c r="E12" s="11">
        <f>'Long-term financing'!K17</f>
        <v>0</v>
      </c>
      <c r="F12" s="11">
        <f>'Long-term financing'!L17</f>
        <v>0</v>
      </c>
      <c r="G12" s="11">
        <f>'Long-term financing'!M17</f>
        <v>0</v>
      </c>
      <c r="H12" s="11"/>
      <c r="I12" s="11"/>
      <c r="J12" s="11"/>
      <c r="K12" s="11"/>
      <c r="L12" s="11"/>
      <c r="M12" s="11"/>
      <c r="N12" s="11"/>
      <c r="O12" s="10"/>
    </row>
    <row r="13" spans="3:14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3.5" thickBot="1">
      <c r="A14" s="146" t="s">
        <v>143</v>
      </c>
      <c r="B14" s="146"/>
      <c r="C14" s="219">
        <v>90</v>
      </c>
      <c r="D14" s="219">
        <v>90</v>
      </c>
      <c r="E14" s="220"/>
      <c r="F14" s="219">
        <v>80</v>
      </c>
      <c r="G14" s="219">
        <v>80</v>
      </c>
      <c r="H14" s="3"/>
      <c r="I14" s="3"/>
      <c r="J14" s="3"/>
      <c r="K14" s="3"/>
      <c r="L14" s="3"/>
      <c r="M14" s="3"/>
      <c r="N14" s="3"/>
    </row>
    <row r="15" spans="1:14" s="26" customFormat="1" ht="13.5" thickBot="1">
      <c r="A15" s="27" t="s">
        <v>145</v>
      </c>
      <c r="B15" s="124"/>
      <c r="C15" s="37">
        <f>C12*C14%</f>
        <v>9.083669400000002</v>
      </c>
      <c r="D15" s="37">
        <f>D12*D14%</f>
        <v>83.11490949600001</v>
      </c>
      <c r="E15" s="37">
        <f>E12*E14%</f>
        <v>0</v>
      </c>
      <c r="F15" s="37">
        <f>F12*F14%</f>
        <v>0</v>
      </c>
      <c r="G15" s="38">
        <f>G12*G14%</f>
        <v>0</v>
      </c>
      <c r="H15" s="33"/>
      <c r="I15" s="33"/>
      <c r="J15" s="33"/>
      <c r="K15" s="33"/>
      <c r="L15" s="33"/>
      <c r="M15" s="33"/>
      <c r="N15" s="33"/>
    </row>
    <row r="16" spans="1:14" ht="12.75" outlineLevel="1">
      <c r="A16" s="2" t="s">
        <v>144</v>
      </c>
      <c r="C16" s="4">
        <v>12</v>
      </c>
      <c r="D16" s="4">
        <v>12</v>
      </c>
      <c r="E16" s="7"/>
      <c r="F16" s="4">
        <v>9</v>
      </c>
      <c r="G16" s="4">
        <v>8</v>
      </c>
      <c r="H16" s="3"/>
      <c r="I16" s="3"/>
      <c r="J16" s="3"/>
      <c r="K16" s="3"/>
      <c r="L16" s="3"/>
      <c r="M16" s="3"/>
      <c r="N16" s="3"/>
    </row>
    <row r="17" spans="1:15" s="6" customFormat="1" ht="12.75" outlineLevel="1">
      <c r="A17" s="8" t="s">
        <v>146</v>
      </c>
      <c r="B17" s="8"/>
      <c r="C17" s="9">
        <f>B19+C15</f>
        <v>9.083669400000002</v>
      </c>
      <c r="D17" s="9">
        <f>C19+D15</f>
        <v>92.19857889600001</v>
      </c>
      <c r="E17" s="9">
        <f>D19+E15</f>
        <v>92.19857889600001</v>
      </c>
      <c r="F17" s="9">
        <f>E19+F15</f>
        <v>85.27233643800001</v>
      </c>
      <c r="G17" s="9">
        <f aca="true" t="shared" si="0" ref="G17:O17">F19+G15</f>
        <v>78.34609398</v>
      </c>
      <c r="H17" s="9">
        <f t="shared" si="0"/>
        <v>71.419851522</v>
      </c>
      <c r="I17" s="9">
        <f>H19+I15</f>
        <v>64.493609064</v>
      </c>
      <c r="J17" s="9">
        <f t="shared" si="0"/>
        <v>57.56736660599999</v>
      </c>
      <c r="K17" s="9">
        <f t="shared" si="0"/>
        <v>50.64112414799999</v>
      </c>
      <c r="L17" s="9">
        <f t="shared" si="0"/>
        <v>43.714881689999984</v>
      </c>
      <c r="M17" s="9">
        <f t="shared" si="0"/>
        <v>36.78863923199998</v>
      </c>
      <c r="N17" s="9">
        <f t="shared" si="0"/>
        <v>29.86239677399998</v>
      </c>
      <c r="O17" s="9">
        <f t="shared" si="0"/>
        <v>22.93615431599998</v>
      </c>
    </row>
    <row r="18" spans="1:15" ht="13.5" outlineLevel="1" thickBot="1">
      <c r="A18" s="146" t="s">
        <v>41</v>
      </c>
      <c r="B18" s="146"/>
      <c r="C18" s="147"/>
      <c r="D18" s="147"/>
      <c r="E18" s="147">
        <f>$D$15/$D$16</f>
        <v>6.926242458000001</v>
      </c>
      <c r="F18" s="147">
        <f>$D$15/$D$16</f>
        <v>6.926242458000001</v>
      </c>
      <c r="G18" s="147">
        <f aca="true" t="shared" si="1" ref="G18:O18">$D$15/$D$16</f>
        <v>6.926242458000001</v>
      </c>
      <c r="H18" s="147">
        <f t="shared" si="1"/>
        <v>6.926242458000001</v>
      </c>
      <c r="I18" s="147">
        <f t="shared" si="1"/>
        <v>6.926242458000001</v>
      </c>
      <c r="J18" s="147">
        <f t="shared" si="1"/>
        <v>6.926242458000001</v>
      </c>
      <c r="K18" s="147">
        <f t="shared" si="1"/>
        <v>6.926242458000001</v>
      </c>
      <c r="L18" s="147">
        <f t="shared" si="1"/>
        <v>6.926242458000001</v>
      </c>
      <c r="M18" s="147">
        <f t="shared" si="1"/>
        <v>6.926242458000001</v>
      </c>
      <c r="N18" s="147">
        <f t="shared" si="1"/>
        <v>6.926242458000001</v>
      </c>
      <c r="O18" s="147">
        <f t="shared" si="1"/>
        <v>6.926242458000001</v>
      </c>
    </row>
    <row r="19" spans="1:15" s="26" customFormat="1" ht="13.5" outlineLevel="1" thickBot="1">
      <c r="A19" s="27" t="s">
        <v>147</v>
      </c>
      <c r="B19" s="124"/>
      <c r="C19" s="37">
        <f aca="true" t="shared" si="2" ref="C19:O19">C17-C18</f>
        <v>9.083669400000002</v>
      </c>
      <c r="D19" s="37">
        <f t="shared" si="2"/>
        <v>92.19857889600001</v>
      </c>
      <c r="E19" s="37">
        <f t="shared" si="2"/>
        <v>85.27233643800001</v>
      </c>
      <c r="F19" s="37">
        <f t="shared" si="2"/>
        <v>78.34609398</v>
      </c>
      <c r="G19" s="37">
        <f t="shared" si="2"/>
        <v>71.419851522</v>
      </c>
      <c r="H19" s="37">
        <f t="shared" si="2"/>
        <v>64.493609064</v>
      </c>
      <c r="I19" s="37">
        <f t="shared" si="2"/>
        <v>57.56736660599999</v>
      </c>
      <c r="J19" s="37">
        <f t="shared" si="2"/>
        <v>50.64112414799999</v>
      </c>
      <c r="K19" s="37">
        <f t="shared" si="2"/>
        <v>43.714881689999984</v>
      </c>
      <c r="L19" s="37">
        <f t="shared" si="2"/>
        <v>36.78863923199998</v>
      </c>
      <c r="M19" s="37">
        <f t="shared" si="2"/>
        <v>29.86239677399998</v>
      </c>
      <c r="N19" s="37">
        <f t="shared" si="2"/>
        <v>22.93615431599998</v>
      </c>
      <c r="O19" s="38">
        <f t="shared" si="2"/>
        <v>16.009911857999978</v>
      </c>
    </row>
    <row r="20" spans="1:15" ht="12.75" outlineLevel="1">
      <c r="A20" s="148" t="s">
        <v>148</v>
      </c>
      <c r="B20" s="148"/>
      <c r="C20" s="149">
        <f>(C19*$B$8%+(C18*$B$8%*0.55))/12*3</f>
        <v>0.15896421450000003</v>
      </c>
      <c r="D20" s="149">
        <f>(D19*$B$8%+(D18*$B$8%*0.55))/2</f>
        <v>3.2269502613600007</v>
      </c>
      <c r="E20" s="149">
        <f aca="true" t="shared" si="3" ref="E20:O20">E19*$B$8%+(E18*$B$8%*0.55)</f>
        <v>6.235723885293002</v>
      </c>
      <c r="F20" s="149">
        <f t="shared" si="3"/>
        <v>5.750886913233002</v>
      </c>
      <c r="G20" s="149">
        <f t="shared" si="3"/>
        <v>5.266049941173001</v>
      </c>
      <c r="H20" s="149">
        <f t="shared" si="3"/>
        <v>4.7812129691130005</v>
      </c>
      <c r="I20" s="149">
        <f t="shared" si="3"/>
        <v>4.296375997053</v>
      </c>
      <c r="J20" s="149">
        <f t="shared" si="3"/>
        <v>3.8115390249929995</v>
      </c>
      <c r="K20" s="149">
        <f t="shared" si="3"/>
        <v>3.3267020529329994</v>
      </c>
      <c r="L20" s="149">
        <f t="shared" si="3"/>
        <v>2.8418650808729993</v>
      </c>
      <c r="M20" s="149">
        <f t="shared" si="3"/>
        <v>2.357028108812999</v>
      </c>
      <c r="N20" s="149">
        <f t="shared" si="3"/>
        <v>1.8721911367529986</v>
      </c>
      <c r="O20" s="149">
        <f t="shared" si="3"/>
        <v>1.3873541646929985</v>
      </c>
    </row>
    <row r="21" ht="12.75"/>
    <row r="22" spans="1:4" ht="12.75">
      <c r="A22" s="10" t="s">
        <v>149</v>
      </c>
      <c r="B22" s="145">
        <v>0.5</v>
      </c>
      <c r="C22" s="145">
        <v>9</v>
      </c>
      <c r="D22" s="145">
        <v>9</v>
      </c>
    </row>
    <row r="23" spans="1:4" ht="12.75">
      <c r="A23" s="10" t="s">
        <v>37</v>
      </c>
      <c r="B23" s="145">
        <v>0</v>
      </c>
      <c r="C23" s="145"/>
      <c r="D23" s="145"/>
    </row>
    <row r="24" spans="1:9" ht="12.75">
      <c r="A24" s="11" t="s">
        <v>163</v>
      </c>
      <c r="B24" s="11">
        <f>SUM(B22:B23)</f>
        <v>0.5</v>
      </c>
      <c r="C24" s="11">
        <v>1.5</v>
      </c>
      <c r="D24" s="11">
        <v>9</v>
      </c>
      <c r="E24" s="150"/>
      <c r="F24" s="150"/>
      <c r="G24" s="150"/>
      <c r="H24" s="150"/>
      <c r="I24" s="150"/>
    </row>
    <row r="26" spans="1:4" ht="12.75">
      <c r="A26" s="10" t="s">
        <v>113</v>
      </c>
      <c r="B26" s="11">
        <f>+B24</f>
        <v>0.5</v>
      </c>
      <c r="C26" s="11">
        <v>1.5</v>
      </c>
      <c r="D26" s="11">
        <v>10.5</v>
      </c>
    </row>
    <row r="31" spans="2:11" ht="12.75"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6" ht="12.75">
      <c r="P36" s="2">
        <v>21</v>
      </c>
    </row>
  </sheetData>
  <sheetProtection/>
  <printOptions/>
  <pageMargins left="0.787401575" right="0.787401575" top="0.984251969" bottom="0.984251969" header="0.5" footer="0.5"/>
  <pageSetup horizontalDpi="1200" verticalDpi="1200" orientation="landscape" paperSize="9" r:id="rId3"/>
  <headerFooter alignWithMargins="0">
    <oddHeader>&amp;C
&amp;"Arial,Bold Italic"&amp;12Finansavimas</oddHeader>
    <oddFooter>&amp;C&amp;"Arial,Italic"Verslo planas
20 MW vėjo elektrinių parkas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U40"/>
  <sheetViews>
    <sheetView zoomScale="93" zoomScaleNormal="93" workbookViewId="0" topLeftCell="A1">
      <selection activeCell="E7" sqref="E7"/>
    </sheetView>
  </sheetViews>
  <sheetFormatPr defaultColWidth="9.140625" defaultRowHeight="12.75" outlineLevelRow="1"/>
  <cols>
    <col min="1" max="1" width="28.00390625" style="2" customWidth="1"/>
    <col min="2" max="2" width="11.28125" style="2" bestFit="1" customWidth="1"/>
    <col min="3" max="3" width="6.57421875" style="2" bestFit="1" customWidth="1"/>
    <col min="4" max="4" width="10.140625" style="2" bestFit="1" customWidth="1"/>
    <col min="5" max="5" width="11.00390625" style="2" bestFit="1" customWidth="1"/>
    <col min="6" max="7" width="11.28125" style="2" bestFit="1" customWidth="1"/>
    <col min="8" max="8" width="12.57421875" style="2" bestFit="1" customWidth="1"/>
    <col min="9" max="11" width="12.7109375" style="2" bestFit="1" customWidth="1"/>
    <col min="12" max="12" width="9.8515625" style="152" customWidth="1"/>
    <col min="13" max="13" width="30.421875" style="2" bestFit="1" customWidth="1"/>
    <col min="14" max="19" width="12.28125" style="2" bestFit="1" customWidth="1"/>
    <col min="20" max="20" width="12.28125" style="20" bestFit="1" customWidth="1"/>
    <col min="21" max="16384" width="9.140625" style="20" customWidth="1"/>
  </cols>
  <sheetData>
    <row r="7" ht="12.75">
      <c r="A7" s="40">
        <f>Calculation!B6</f>
        <v>1000000</v>
      </c>
    </row>
    <row r="8" spans="4:20" ht="12.75">
      <c r="D8" s="146">
        <v>2007</v>
      </c>
      <c r="E8" s="146">
        <v>2008</v>
      </c>
      <c r="F8" s="146">
        <v>2009</v>
      </c>
      <c r="G8" s="146">
        <v>2010</v>
      </c>
      <c r="H8" s="146">
        <v>2011</v>
      </c>
      <c r="I8" s="146">
        <v>2012</v>
      </c>
      <c r="J8" s="146">
        <v>2013</v>
      </c>
      <c r="K8" s="146">
        <v>2014</v>
      </c>
      <c r="N8" s="146">
        <v>2015</v>
      </c>
      <c r="O8" s="146">
        <v>2016</v>
      </c>
      <c r="P8" s="146">
        <v>2017</v>
      </c>
      <c r="Q8" s="146">
        <v>2018</v>
      </c>
      <c r="R8" s="146">
        <v>2019</v>
      </c>
      <c r="S8" s="146">
        <v>2020</v>
      </c>
      <c r="T8" s="146">
        <v>2021</v>
      </c>
    </row>
    <row r="9" spans="2:20" ht="12.75">
      <c r="B9" s="2" t="s">
        <v>1</v>
      </c>
      <c r="D9" s="148"/>
      <c r="E9" s="148"/>
      <c r="F9" s="148"/>
      <c r="G9" s="148"/>
      <c r="H9" s="148"/>
      <c r="I9" s="148"/>
      <c r="J9" s="148"/>
      <c r="K9" s="148"/>
      <c r="N9" s="148"/>
      <c r="O9" s="148"/>
      <c r="P9" s="148"/>
      <c r="Q9" s="148"/>
      <c r="R9" s="148"/>
      <c r="S9" s="148"/>
      <c r="T9" s="148"/>
    </row>
    <row r="10" spans="1:20" ht="12.75" outlineLevel="1">
      <c r="A10" s="155" t="s">
        <v>161</v>
      </c>
      <c r="B10" s="39">
        <f>38000*3.45</f>
        <v>131100</v>
      </c>
      <c r="C10" s="42">
        <v>10</v>
      </c>
      <c r="D10" s="21"/>
      <c r="E10" s="22"/>
      <c r="F10" s="22"/>
      <c r="G10" s="22"/>
      <c r="H10" s="22"/>
      <c r="I10" s="22">
        <f>B10*C10</f>
        <v>1311000</v>
      </c>
      <c r="J10" s="22">
        <f>I10</f>
        <v>1311000</v>
      </c>
      <c r="K10" s="22">
        <f aca="true" t="shared" si="0" ref="K10:R10">J10</f>
        <v>1311000</v>
      </c>
      <c r="L10" s="153"/>
      <c r="M10" s="155" t="s">
        <v>161</v>
      </c>
      <c r="N10" s="22">
        <f>K10</f>
        <v>1311000</v>
      </c>
      <c r="O10" s="22">
        <f t="shared" si="0"/>
        <v>1311000</v>
      </c>
      <c r="P10" s="22">
        <f t="shared" si="0"/>
        <v>1311000</v>
      </c>
      <c r="Q10" s="22">
        <f t="shared" si="0"/>
        <v>1311000</v>
      </c>
      <c r="R10" s="22">
        <f t="shared" si="0"/>
        <v>1311000</v>
      </c>
      <c r="S10" s="22">
        <f>R10</f>
        <v>1311000</v>
      </c>
      <c r="T10" s="22">
        <f>S10</f>
        <v>1311000</v>
      </c>
    </row>
    <row r="11" spans="1:20" ht="12.75" outlineLevel="1">
      <c r="A11" s="155" t="s">
        <v>162</v>
      </c>
      <c r="B11" s="39">
        <v>5</v>
      </c>
      <c r="C11" s="45"/>
      <c r="D11" s="21"/>
      <c r="E11" s="39"/>
      <c r="F11" s="39">
        <v>5</v>
      </c>
      <c r="G11" s="39">
        <v>5</v>
      </c>
      <c r="H11" s="39">
        <v>5</v>
      </c>
      <c r="I11" s="39">
        <v>5</v>
      </c>
      <c r="J11" s="39">
        <v>5</v>
      </c>
      <c r="K11" s="39">
        <v>5</v>
      </c>
      <c r="L11" s="153"/>
      <c r="M11" s="155" t="s">
        <v>162</v>
      </c>
      <c r="N11" s="39">
        <v>5</v>
      </c>
      <c r="O11" s="39">
        <v>5</v>
      </c>
      <c r="P11" s="39">
        <v>5</v>
      </c>
      <c r="Q11" s="39">
        <v>5</v>
      </c>
      <c r="R11" s="39">
        <v>5</v>
      </c>
      <c r="S11" s="39">
        <v>5</v>
      </c>
      <c r="T11" s="39">
        <v>5</v>
      </c>
    </row>
    <row r="12" spans="1:20" ht="12.75" outlineLevel="1">
      <c r="A12" s="155" t="s">
        <v>150</v>
      </c>
      <c r="B12" s="39">
        <v>5000</v>
      </c>
      <c r="C12" s="35">
        <v>12</v>
      </c>
      <c r="D12" s="21">
        <f>B12*C12</f>
        <v>60000</v>
      </c>
      <c r="E12" s="22">
        <f>D12+D12*E$11%</f>
        <v>60000</v>
      </c>
      <c r="F12" s="22">
        <f>E12+E12*F$11%</f>
        <v>63000</v>
      </c>
      <c r="G12" s="22">
        <f aca="true" t="shared" si="1" ref="G12:T12">F12+F12*G$11%</f>
        <v>66150</v>
      </c>
      <c r="H12" s="22">
        <f t="shared" si="1"/>
        <v>69457.5</v>
      </c>
      <c r="I12" s="22">
        <f t="shared" si="1"/>
        <v>72930.375</v>
      </c>
      <c r="J12" s="22">
        <f t="shared" si="1"/>
        <v>76576.89375</v>
      </c>
      <c r="K12" s="22">
        <f t="shared" si="1"/>
        <v>80405.7384375</v>
      </c>
      <c r="L12" s="153"/>
      <c r="M12" s="155" t="s">
        <v>150</v>
      </c>
      <c r="N12" s="22">
        <f>K12+K12*N$11%</f>
        <v>84426.025359375</v>
      </c>
      <c r="O12" s="22">
        <f t="shared" si="1"/>
        <v>88647.32662734375</v>
      </c>
      <c r="P12" s="22">
        <f t="shared" si="1"/>
        <v>93079.69295871093</v>
      </c>
      <c r="Q12" s="22">
        <f t="shared" si="1"/>
        <v>97733.67760664648</v>
      </c>
      <c r="R12" s="22">
        <f t="shared" si="1"/>
        <v>102620.3614869788</v>
      </c>
      <c r="S12" s="22">
        <f t="shared" si="1"/>
        <v>107751.37956132775</v>
      </c>
      <c r="T12" s="22">
        <f t="shared" si="1"/>
        <v>113138.94853939413</v>
      </c>
    </row>
    <row r="13" spans="1:20" ht="12.75" outlineLevel="1">
      <c r="A13" s="155" t="s">
        <v>103</v>
      </c>
      <c r="B13" s="39">
        <v>31</v>
      </c>
      <c r="C13" s="22"/>
      <c r="D13" s="46">
        <f>D12*$B$13%</f>
        <v>18600</v>
      </c>
      <c r="E13" s="22">
        <f>E12*$B$13%</f>
        <v>18600</v>
      </c>
      <c r="F13" s="22">
        <f>F12*$B$13%</f>
        <v>19530</v>
      </c>
      <c r="G13" s="22">
        <f aca="true" t="shared" si="2" ref="G13:T13">G12*$B$13%</f>
        <v>20506.5</v>
      </c>
      <c r="H13" s="22">
        <f t="shared" si="2"/>
        <v>21531.825</v>
      </c>
      <c r="I13" s="22">
        <f t="shared" si="2"/>
        <v>22608.41625</v>
      </c>
      <c r="J13" s="22">
        <f t="shared" si="2"/>
        <v>23738.837062500003</v>
      </c>
      <c r="K13" s="22">
        <f t="shared" si="2"/>
        <v>24925.778915625</v>
      </c>
      <c r="L13" s="153"/>
      <c r="M13" s="155" t="s">
        <v>103</v>
      </c>
      <c r="N13" s="22">
        <f t="shared" si="2"/>
        <v>26172.06786140625</v>
      </c>
      <c r="O13" s="22">
        <f t="shared" si="2"/>
        <v>27480.67125447656</v>
      </c>
      <c r="P13" s="22">
        <f t="shared" si="2"/>
        <v>28854.70481720039</v>
      </c>
      <c r="Q13" s="22">
        <f t="shared" si="2"/>
        <v>30297.44005806041</v>
      </c>
      <c r="R13" s="22">
        <f t="shared" si="2"/>
        <v>31812.312060963428</v>
      </c>
      <c r="S13" s="22">
        <f t="shared" si="2"/>
        <v>33402.9276640116</v>
      </c>
      <c r="T13" s="22">
        <f t="shared" si="2"/>
        <v>35073.074047212176</v>
      </c>
    </row>
    <row r="14" spans="1:20" ht="12.75" outlineLevel="1">
      <c r="A14" s="218" t="s">
        <v>110</v>
      </c>
      <c r="B14" s="39">
        <v>4000</v>
      </c>
      <c r="C14" s="35">
        <v>12</v>
      </c>
      <c r="D14" s="21">
        <f>B14*C14</f>
        <v>48000</v>
      </c>
      <c r="E14" s="22">
        <f>D14+D14*E$11%</f>
        <v>48000</v>
      </c>
      <c r="F14" s="22">
        <f aca="true" t="shared" si="3" ref="F14:R14">E14*1.05</f>
        <v>50400</v>
      </c>
      <c r="G14" s="22">
        <f t="shared" si="3"/>
        <v>52920</v>
      </c>
      <c r="H14" s="22">
        <f t="shared" si="3"/>
        <v>55566</v>
      </c>
      <c r="I14" s="22">
        <f t="shared" si="3"/>
        <v>58344.3</v>
      </c>
      <c r="J14" s="22">
        <f t="shared" si="3"/>
        <v>61261.51500000001</v>
      </c>
      <c r="K14" s="22">
        <f t="shared" si="3"/>
        <v>64324.59075000001</v>
      </c>
      <c r="L14" s="153"/>
      <c r="M14" s="215" t="s">
        <v>110</v>
      </c>
      <c r="N14" s="22">
        <f>K14*1.05</f>
        <v>67540.82028750001</v>
      </c>
      <c r="O14" s="22">
        <f t="shared" si="3"/>
        <v>70917.86130187502</v>
      </c>
      <c r="P14" s="22">
        <f t="shared" si="3"/>
        <v>74463.75436696877</v>
      </c>
      <c r="Q14" s="22">
        <f t="shared" si="3"/>
        <v>78186.94208531722</v>
      </c>
      <c r="R14" s="22">
        <f t="shared" si="3"/>
        <v>82096.28918958308</v>
      </c>
      <c r="S14" s="22">
        <f>R14*1.05</f>
        <v>86201.10364906224</v>
      </c>
      <c r="T14" s="22">
        <f>S14*1.05</f>
        <v>90511.15883151535</v>
      </c>
    </row>
    <row r="15" spans="1:20" ht="12.75" outlineLevel="1">
      <c r="A15" s="156" t="s">
        <v>152</v>
      </c>
      <c r="B15" s="39">
        <v>100</v>
      </c>
      <c r="C15" s="35">
        <v>12</v>
      </c>
      <c r="D15" s="21">
        <f>B15*C15</f>
        <v>1200</v>
      </c>
      <c r="E15" s="22">
        <f>D15+D15*E$11%</f>
        <v>1200</v>
      </c>
      <c r="F15" s="22">
        <f aca="true" t="shared" si="4" ref="F15:T15">E15+E15*F$11%</f>
        <v>1260</v>
      </c>
      <c r="G15" s="22">
        <f t="shared" si="4"/>
        <v>1323</v>
      </c>
      <c r="H15" s="22">
        <f t="shared" si="4"/>
        <v>1389.15</v>
      </c>
      <c r="I15" s="22">
        <f t="shared" si="4"/>
        <v>1458.6075</v>
      </c>
      <c r="J15" s="22">
        <f t="shared" si="4"/>
        <v>1531.537875</v>
      </c>
      <c r="K15" s="22">
        <f t="shared" si="4"/>
        <v>1608.11476875</v>
      </c>
      <c r="L15" s="153"/>
      <c r="M15" s="156" t="s">
        <v>152</v>
      </c>
      <c r="N15" s="22">
        <f>K15+K15*N$11%</f>
        <v>1688.5205071875</v>
      </c>
      <c r="O15" s="22">
        <f t="shared" si="4"/>
        <v>1772.946532546875</v>
      </c>
      <c r="P15" s="22">
        <f t="shared" si="4"/>
        <v>1861.5938591742188</v>
      </c>
      <c r="Q15" s="22">
        <f t="shared" si="4"/>
        <v>1954.6735521329297</v>
      </c>
      <c r="R15" s="22">
        <f t="shared" si="4"/>
        <v>2052.407229739576</v>
      </c>
      <c r="S15" s="22">
        <f t="shared" si="4"/>
        <v>2155.0275912265547</v>
      </c>
      <c r="T15" s="22">
        <f t="shared" si="4"/>
        <v>2262.7789707878824</v>
      </c>
    </row>
    <row r="16" spans="1:20" ht="12.75" outlineLevel="1">
      <c r="A16" s="156" t="s">
        <v>153</v>
      </c>
      <c r="B16" s="39">
        <v>500</v>
      </c>
      <c r="C16" s="35">
        <v>10</v>
      </c>
      <c r="D16" s="21"/>
      <c r="E16" s="22"/>
      <c r="F16" s="22">
        <f>B16*C16</f>
        <v>5000</v>
      </c>
      <c r="G16" s="22">
        <f aca="true" t="shared" si="5" ref="G16:T16">F16+F16*G$11%</f>
        <v>5250</v>
      </c>
      <c r="H16" s="22">
        <f t="shared" si="5"/>
        <v>5512.5</v>
      </c>
      <c r="I16" s="22">
        <f t="shared" si="5"/>
        <v>5788.125</v>
      </c>
      <c r="J16" s="22">
        <f t="shared" si="5"/>
        <v>6077.53125</v>
      </c>
      <c r="K16" s="22">
        <f t="shared" si="5"/>
        <v>6381.4078125</v>
      </c>
      <c r="L16" s="153"/>
      <c r="M16" s="156" t="s">
        <v>153</v>
      </c>
      <c r="N16" s="22">
        <f>K16+K16*N$11%</f>
        <v>6700.478203125</v>
      </c>
      <c r="O16" s="22">
        <f t="shared" si="5"/>
        <v>7035.50211328125</v>
      </c>
      <c r="P16" s="22">
        <f t="shared" si="5"/>
        <v>7387.277218945313</v>
      </c>
      <c r="Q16" s="22">
        <f t="shared" si="5"/>
        <v>7756.641079892578</v>
      </c>
      <c r="R16" s="22">
        <f t="shared" si="5"/>
        <v>8144.473133887207</v>
      </c>
      <c r="S16" s="22">
        <f t="shared" si="5"/>
        <v>8551.696790581567</v>
      </c>
      <c r="T16" s="22">
        <f t="shared" si="5"/>
        <v>8979.281630110645</v>
      </c>
    </row>
    <row r="17" spans="1:20" ht="12.75" outlineLevel="1">
      <c r="A17" s="155" t="s">
        <v>154</v>
      </c>
      <c r="B17" s="39">
        <v>7000</v>
      </c>
      <c r="C17" s="35">
        <v>10</v>
      </c>
      <c r="D17" s="43"/>
      <c r="E17" s="22"/>
      <c r="F17" s="22">
        <f>+$B$17*$C$17</f>
        <v>70000</v>
      </c>
      <c r="G17" s="22">
        <f>+F17*1.05</f>
        <v>73500</v>
      </c>
      <c r="H17" s="22">
        <f aca="true" t="shared" si="6" ref="H17:T17">+G17*1.05</f>
        <v>77175</v>
      </c>
      <c r="I17" s="22">
        <f t="shared" si="6"/>
        <v>81033.75</v>
      </c>
      <c r="J17" s="22">
        <f t="shared" si="6"/>
        <v>85085.4375</v>
      </c>
      <c r="K17" s="22">
        <f t="shared" si="6"/>
        <v>89339.709375</v>
      </c>
      <c r="L17" s="153"/>
      <c r="M17" s="155" t="s">
        <v>154</v>
      </c>
      <c r="N17" s="22">
        <f>+K17*1.05</f>
        <v>93806.69484375001</v>
      </c>
      <c r="O17" s="22">
        <f t="shared" si="6"/>
        <v>98497.02958593752</v>
      </c>
      <c r="P17" s="22">
        <f t="shared" si="6"/>
        <v>103421.8810652344</v>
      </c>
      <c r="Q17" s="22">
        <f t="shared" si="6"/>
        <v>108592.97511849612</v>
      </c>
      <c r="R17" s="22">
        <f t="shared" si="6"/>
        <v>114022.62387442093</v>
      </c>
      <c r="S17" s="22">
        <f t="shared" si="6"/>
        <v>119723.75506814198</v>
      </c>
      <c r="T17" s="22">
        <f t="shared" si="6"/>
        <v>125709.94282154909</v>
      </c>
    </row>
    <row r="18" spans="1:20" ht="12.75" outlineLevel="1">
      <c r="A18" s="156" t="s">
        <v>155</v>
      </c>
      <c r="B18" s="39">
        <v>3000</v>
      </c>
      <c r="C18" s="35">
        <v>10</v>
      </c>
      <c r="D18" s="21">
        <f>B18*C18</f>
        <v>30000</v>
      </c>
      <c r="E18" s="22"/>
      <c r="F18" s="22">
        <f>D18+D18*F$11%</f>
        <v>31500</v>
      </c>
      <c r="G18" s="22">
        <f aca="true" t="shared" si="7" ref="G18:T18">F18+F18*G$11%</f>
        <v>33075</v>
      </c>
      <c r="H18" s="22">
        <f t="shared" si="7"/>
        <v>34728.75</v>
      </c>
      <c r="I18" s="22">
        <f t="shared" si="7"/>
        <v>36465.1875</v>
      </c>
      <c r="J18" s="22">
        <f t="shared" si="7"/>
        <v>38288.446875</v>
      </c>
      <c r="K18" s="22">
        <f t="shared" si="7"/>
        <v>40202.86921875</v>
      </c>
      <c r="L18" s="153"/>
      <c r="M18" s="156" t="s">
        <v>155</v>
      </c>
      <c r="N18" s="22">
        <f>K18+K18*N$11%</f>
        <v>42213.0126796875</v>
      </c>
      <c r="O18" s="22">
        <f t="shared" si="7"/>
        <v>44323.663313671874</v>
      </c>
      <c r="P18" s="22">
        <f t="shared" si="7"/>
        <v>46539.84647935547</v>
      </c>
      <c r="Q18" s="22">
        <f t="shared" si="7"/>
        <v>48866.83880332324</v>
      </c>
      <c r="R18" s="22">
        <f t="shared" si="7"/>
        <v>51310.1807434894</v>
      </c>
      <c r="S18" s="22">
        <f t="shared" si="7"/>
        <v>53875.68978066387</v>
      </c>
      <c r="T18" s="22">
        <f t="shared" si="7"/>
        <v>56569.474269697064</v>
      </c>
    </row>
    <row r="19" spans="1:20" ht="12.75" outlineLevel="1">
      <c r="A19" s="156" t="s">
        <v>156</v>
      </c>
      <c r="B19" s="39">
        <v>8286</v>
      </c>
      <c r="C19" s="35">
        <v>11</v>
      </c>
      <c r="D19" s="43"/>
      <c r="E19" s="22"/>
      <c r="F19" s="22"/>
      <c r="G19" s="22">
        <f>B19*C19</f>
        <v>91146</v>
      </c>
      <c r="H19" s="22">
        <f aca="true" t="shared" si="8" ref="H19:T19">G19</f>
        <v>91146</v>
      </c>
      <c r="I19" s="22">
        <f t="shared" si="8"/>
        <v>91146</v>
      </c>
      <c r="J19" s="22">
        <f t="shared" si="8"/>
        <v>91146</v>
      </c>
      <c r="K19" s="22">
        <f t="shared" si="8"/>
        <v>91146</v>
      </c>
      <c r="L19" s="153"/>
      <c r="M19" s="156" t="s">
        <v>156</v>
      </c>
      <c r="N19" s="22">
        <f>K19</f>
        <v>91146</v>
      </c>
      <c r="O19" s="22">
        <f t="shared" si="8"/>
        <v>91146</v>
      </c>
      <c r="P19" s="22">
        <f t="shared" si="8"/>
        <v>91146</v>
      </c>
      <c r="Q19" s="22">
        <f t="shared" si="8"/>
        <v>91146</v>
      </c>
      <c r="R19" s="22">
        <f t="shared" si="8"/>
        <v>91146</v>
      </c>
      <c r="S19" s="22">
        <f t="shared" si="8"/>
        <v>91146</v>
      </c>
      <c r="T19" s="22">
        <f t="shared" si="8"/>
        <v>91146</v>
      </c>
    </row>
    <row r="20" spans="1:20" ht="13.5" outlineLevel="1" thickBot="1">
      <c r="A20" s="157" t="s">
        <v>157</v>
      </c>
      <c r="B20" s="47">
        <v>25000</v>
      </c>
      <c r="C20" s="48">
        <v>10</v>
      </c>
      <c r="D20" s="49">
        <f>B20*C20</f>
        <v>250000</v>
      </c>
      <c r="E20" s="50"/>
      <c r="F20" s="50">
        <f>D20*1.05</f>
        <v>262500</v>
      </c>
      <c r="G20" s="50">
        <f>F20*1.05</f>
        <v>275625</v>
      </c>
      <c r="H20" s="50">
        <f>G20*1.05</f>
        <v>289406.25</v>
      </c>
      <c r="I20" s="50">
        <f>H20*1.05</f>
        <v>303876.5625</v>
      </c>
      <c r="J20" s="50">
        <f aca="true" t="shared" si="9" ref="J20:R20">I20*1.05</f>
        <v>319070.390625</v>
      </c>
      <c r="K20" s="50">
        <f t="shared" si="9"/>
        <v>335023.91015625</v>
      </c>
      <c r="L20" s="153"/>
      <c r="M20" s="157" t="s">
        <v>157</v>
      </c>
      <c r="N20" s="50">
        <f>K20*1.05</f>
        <v>351775.1056640625</v>
      </c>
      <c r="O20" s="50">
        <f t="shared" si="9"/>
        <v>369363.86094726564</v>
      </c>
      <c r="P20" s="50">
        <f t="shared" si="9"/>
        <v>387832.05399462895</v>
      </c>
      <c r="Q20" s="50">
        <f t="shared" si="9"/>
        <v>407223.6566943604</v>
      </c>
      <c r="R20" s="50">
        <f t="shared" si="9"/>
        <v>427584.83952907845</v>
      </c>
      <c r="S20" s="50">
        <f>R20*1.05</f>
        <v>448964.0815055324</v>
      </c>
      <c r="T20" s="50">
        <f>S20*1.05</f>
        <v>471412.285580809</v>
      </c>
    </row>
    <row r="21" spans="1:20" s="44" customFormat="1" ht="13.5" outlineLevel="1" thickBot="1">
      <c r="A21" s="51" t="s">
        <v>158</v>
      </c>
      <c r="B21" s="165">
        <f>SUM(B10:B20)</f>
        <v>184022</v>
      </c>
      <c r="C21" s="52">
        <f aca="true" t="shared" si="10" ref="C21:R21">SUM(C10:C20)</f>
        <v>97</v>
      </c>
      <c r="D21" s="52">
        <f>SUM(D10:D20)</f>
        <v>407800</v>
      </c>
      <c r="E21" s="52">
        <f>SUM(E10:E20)</f>
        <v>127800</v>
      </c>
      <c r="F21" s="52">
        <f>SUM(F10:F20)</f>
        <v>503195</v>
      </c>
      <c r="G21" s="52">
        <f t="shared" si="10"/>
        <v>619500.5</v>
      </c>
      <c r="H21" s="52">
        <f>SUM(H10:H20)</f>
        <v>645917.975</v>
      </c>
      <c r="I21" s="52">
        <f>SUM(I10:I20)</f>
        <v>1984656.32375</v>
      </c>
      <c r="J21" s="52">
        <f t="shared" si="10"/>
        <v>2013781.5899374997</v>
      </c>
      <c r="K21" s="216">
        <f t="shared" si="10"/>
        <v>2044363.119434375</v>
      </c>
      <c r="L21" s="154"/>
      <c r="M21" s="51" t="s">
        <v>158</v>
      </c>
      <c r="N21" s="52">
        <f t="shared" si="10"/>
        <v>2076473.7254060938</v>
      </c>
      <c r="O21" s="52">
        <f t="shared" si="10"/>
        <v>2110189.861676398</v>
      </c>
      <c r="P21" s="52">
        <f t="shared" si="10"/>
        <v>2145591.804760218</v>
      </c>
      <c r="Q21" s="52">
        <f t="shared" si="10"/>
        <v>2182763.8449982298</v>
      </c>
      <c r="R21" s="52">
        <f t="shared" si="10"/>
        <v>2221794.487248141</v>
      </c>
      <c r="S21" s="52">
        <f>SUM(S10:S20)</f>
        <v>2262776.6616105484</v>
      </c>
      <c r="T21" s="216">
        <f>SUM(T10:T20)</f>
        <v>2305807.944691075</v>
      </c>
    </row>
    <row r="22" spans="1:20" s="28" customFormat="1" ht="13.5" thickBot="1">
      <c r="A22" s="51" t="s">
        <v>158</v>
      </c>
      <c r="B22" s="36">
        <f>B21/$A$7</f>
        <v>0.184022</v>
      </c>
      <c r="C22" s="36">
        <f aca="true" t="shared" si="11" ref="C22:R22">C21/$A$7</f>
        <v>9.7E-05</v>
      </c>
      <c r="D22" s="36">
        <f>D21/$A$7</f>
        <v>0.4078</v>
      </c>
      <c r="E22" s="36">
        <f>E21/$A$7</f>
        <v>0.1278</v>
      </c>
      <c r="F22" s="36">
        <f t="shared" si="11"/>
        <v>0.503195</v>
      </c>
      <c r="G22" s="36">
        <f t="shared" si="11"/>
        <v>0.6195005</v>
      </c>
      <c r="H22" s="36">
        <f>H21/$A$7</f>
        <v>0.6459179749999999</v>
      </c>
      <c r="I22" s="36">
        <f t="shared" si="11"/>
        <v>1.98465632375</v>
      </c>
      <c r="J22" s="36">
        <f t="shared" si="11"/>
        <v>2.0137815899374996</v>
      </c>
      <c r="K22" s="38">
        <f t="shared" si="11"/>
        <v>2.044363119434375</v>
      </c>
      <c r="L22" s="78"/>
      <c r="M22" s="51" t="s">
        <v>158</v>
      </c>
      <c r="N22" s="36">
        <f t="shared" si="11"/>
        <v>2.076473725406094</v>
      </c>
      <c r="O22" s="36">
        <f t="shared" si="11"/>
        <v>2.1101898616763983</v>
      </c>
      <c r="P22" s="36">
        <f t="shared" si="11"/>
        <v>2.145591804760218</v>
      </c>
      <c r="Q22" s="36">
        <f t="shared" si="11"/>
        <v>2.1827638449982296</v>
      </c>
      <c r="R22" s="36">
        <f t="shared" si="11"/>
        <v>2.221794487248141</v>
      </c>
      <c r="S22" s="36">
        <f>S21/$A$7</f>
        <v>2.2627766616105482</v>
      </c>
      <c r="T22" s="38">
        <f>T21/$A$7</f>
        <v>2.305807944691075</v>
      </c>
    </row>
    <row r="23" spans="2:20" s="28" customFormat="1" ht="13.5" thickBo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78"/>
      <c r="M23" s="26"/>
      <c r="N23" s="33"/>
      <c r="O23" s="33"/>
      <c r="P23" s="33"/>
      <c r="Q23" s="33"/>
      <c r="R23" s="33"/>
      <c r="S23" s="33"/>
      <c r="T23" s="33"/>
    </row>
    <row r="24" spans="1:20" s="28" customFormat="1" ht="13.5" thickBot="1">
      <c r="A24" s="27" t="s">
        <v>159</v>
      </c>
      <c r="B24" s="36"/>
      <c r="C24" s="36"/>
      <c r="D24" s="37">
        <f>Financing!B20</f>
        <v>0</v>
      </c>
      <c r="E24" s="37">
        <f>Financing!C20</f>
        <v>0.15896421450000003</v>
      </c>
      <c r="F24" s="37">
        <f>Financing!D20</f>
        <v>3.2269502613600007</v>
      </c>
      <c r="G24" s="37">
        <f>Financing!E20</f>
        <v>6.235723885293002</v>
      </c>
      <c r="H24" s="37">
        <f>Financing!F20</f>
        <v>5.750886913233002</v>
      </c>
      <c r="I24" s="37">
        <f>Financing!G20</f>
        <v>5.266049941173001</v>
      </c>
      <c r="J24" s="37">
        <f>Financing!H20</f>
        <v>4.7812129691130005</v>
      </c>
      <c r="K24" s="38">
        <f>Financing!I20</f>
        <v>4.296375997053</v>
      </c>
      <c r="L24" s="78"/>
      <c r="M24" s="27" t="s">
        <v>159</v>
      </c>
      <c r="N24" s="37">
        <f>Financing!J20</f>
        <v>3.8115390249929995</v>
      </c>
      <c r="O24" s="37">
        <f>Financing!K20</f>
        <v>3.3267020529329994</v>
      </c>
      <c r="P24" s="37">
        <f>Financing!L20</f>
        <v>2.8418650808729993</v>
      </c>
      <c r="Q24" s="37">
        <f>Financing!M20</f>
        <v>2.357028108812999</v>
      </c>
      <c r="R24" s="217">
        <f>Financing!N20</f>
        <v>1.8721911367529986</v>
      </c>
      <c r="S24" s="217">
        <f>Financing!O20</f>
        <v>1.3873541646929985</v>
      </c>
      <c r="T24" s="38">
        <f>Financing!P20</f>
        <v>0</v>
      </c>
    </row>
    <row r="25" spans="2:20" s="28" customFormat="1" ht="13.5" thickBo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78"/>
      <c r="N25" s="30"/>
      <c r="O25" s="30"/>
      <c r="P25" s="30"/>
      <c r="Q25" s="30"/>
      <c r="R25" s="30"/>
      <c r="S25" s="30"/>
      <c r="T25" s="30"/>
    </row>
    <row r="26" spans="1:20" s="28" customFormat="1" ht="13.5" thickBot="1">
      <c r="A26" s="27" t="s">
        <v>36</v>
      </c>
      <c r="B26" s="36"/>
      <c r="C26" s="36"/>
      <c r="D26" s="37">
        <f>'Long-term financing'!H31</f>
        <v>0</v>
      </c>
      <c r="E26" s="37">
        <f>'Long-term financing'!I31</f>
        <v>0</v>
      </c>
      <c r="F26" s="37">
        <f>'Long-term financing'!J31</f>
        <v>6.829524362666668</v>
      </c>
      <c r="G26" s="37">
        <f>'Long-term financing'!K31</f>
        <v>6.829524362666668</v>
      </c>
      <c r="H26" s="37">
        <f>'Long-term financing'!L31</f>
        <v>6.829524362666668</v>
      </c>
      <c r="I26" s="37">
        <f>'Long-term financing'!M31</f>
        <v>6.829524362666668</v>
      </c>
      <c r="J26" s="37">
        <f>'Long-term financing'!N31</f>
        <v>6.829524362666668</v>
      </c>
      <c r="K26" s="38">
        <f>'Long-term financing'!O31</f>
        <v>6.829524362666668</v>
      </c>
      <c r="L26" s="78"/>
      <c r="M26" s="27" t="s">
        <v>36</v>
      </c>
      <c r="N26" s="37">
        <f>'Long-term financing'!P31</f>
        <v>6.829524362666668</v>
      </c>
      <c r="O26" s="37">
        <f>'Long-term financing'!Q31</f>
        <v>6.829524362666668</v>
      </c>
      <c r="P26" s="37">
        <f>'Long-term financing'!R31</f>
        <v>6.829524362666668</v>
      </c>
      <c r="Q26" s="37">
        <f>'Long-term financing'!S31</f>
        <v>6.829524362666668</v>
      </c>
      <c r="R26" s="37">
        <f>'Long-term financing'!V31</f>
        <v>6.829524362666668</v>
      </c>
      <c r="S26" s="37">
        <f>'Long-term financing'!W31</f>
        <v>6.829524362666668</v>
      </c>
      <c r="T26" s="38">
        <f>'Long-term financing'!X31</f>
        <v>6.829524362666668</v>
      </c>
    </row>
    <row r="27" spans="2:20" s="28" customFormat="1" ht="13.5" thickBo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78"/>
      <c r="M27" s="26"/>
      <c r="N27" s="33"/>
      <c r="O27" s="33"/>
      <c r="P27" s="33"/>
      <c r="Q27" s="33"/>
      <c r="R27" s="33"/>
      <c r="S27" s="33"/>
      <c r="T27" s="33"/>
    </row>
    <row r="28" spans="1:20" s="28" customFormat="1" ht="13.5" thickBot="1">
      <c r="A28" s="27" t="s">
        <v>160</v>
      </c>
      <c r="B28" s="36"/>
      <c r="C28" s="36"/>
      <c r="D28" s="37">
        <f>D22+D24+D26</f>
        <v>0.4078</v>
      </c>
      <c r="E28" s="37">
        <f aca="true" t="shared" si="12" ref="E28:K28">E22+E24+E26</f>
        <v>0.2867642145</v>
      </c>
      <c r="F28" s="37">
        <f t="shared" si="12"/>
        <v>10.559669624026668</v>
      </c>
      <c r="G28" s="37">
        <f t="shared" si="12"/>
        <v>13.68474874795967</v>
      </c>
      <c r="H28" s="37">
        <f t="shared" si="12"/>
        <v>13.22632925089967</v>
      </c>
      <c r="I28" s="37">
        <f t="shared" si="12"/>
        <v>14.080230627589668</v>
      </c>
      <c r="J28" s="37">
        <f t="shared" si="12"/>
        <v>13.624518921717168</v>
      </c>
      <c r="K28" s="38">
        <f t="shared" si="12"/>
        <v>13.170263479154045</v>
      </c>
      <c r="L28" s="78"/>
      <c r="M28" s="27" t="s">
        <v>160</v>
      </c>
      <c r="N28" s="37">
        <f aca="true" t="shared" si="13" ref="N28:T28">N22+N24+N26</f>
        <v>12.717537113065763</v>
      </c>
      <c r="O28" s="37">
        <f t="shared" si="13"/>
        <v>12.266416277276065</v>
      </c>
      <c r="P28" s="37">
        <f t="shared" si="13"/>
        <v>11.816981248299886</v>
      </c>
      <c r="Q28" s="37">
        <f t="shared" si="13"/>
        <v>11.369316316477896</v>
      </c>
      <c r="R28" s="37">
        <f t="shared" si="13"/>
        <v>10.923509986667808</v>
      </c>
      <c r="S28" s="37">
        <f t="shared" si="13"/>
        <v>10.479655188970215</v>
      </c>
      <c r="T28" s="38">
        <f t="shared" si="13"/>
        <v>9.135332307357743</v>
      </c>
    </row>
    <row r="40" spans="11:21" ht="12.75">
      <c r="K40" s="2">
        <v>22</v>
      </c>
      <c r="U40" s="20">
        <v>23</v>
      </c>
    </row>
  </sheetData>
  <sheetProtection/>
  <printOptions/>
  <pageMargins left="0.25" right="0.25" top="0.75" bottom="0.75" header="0.3" footer="0.3"/>
  <pageSetup horizontalDpi="600" verticalDpi="600" orientation="landscape" r:id="rId1"/>
  <headerFooter alignWithMargins="0">
    <oddHeader>&amp;C
&amp;"Arial,Bold Italic"&amp;12Planuojamos išlaidos</oddHeader>
    <oddFooter>&amp;C&amp;"Arial,Italic"Verslo planas
20 MW vėjo elektrinių parkas</oddFooter>
  </headerFooter>
  <ignoredErrors>
    <ignoredError sqref="D13:E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0">
      <selection activeCell="H33" sqref="H33"/>
    </sheetView>
  </sheetViews>
  <sheetFormatPr defaultColWidth="9.140625" defaultRowHeight="12.75"/>
  <cols>
    <col min="2" max="2" width="10.57421875" style="0" customWidth="1"/>
  </cols>
  <sheetData>
    <row r="1" spans="2:3" ht="12.75">
      <c r="B1" s="246">
        <f>B2/12</f>
        <v>482.0016666666666</v>
      </c>
      <c r="C1" t="s">
        <v>179</v>
      </c>
    </row>
    <row r="2" spans="2:3" ht="12.75">
      <c r="B2">
        <f>B3/10</f>
        <v>5784.0199999999995</v>
      </c>
      <c r="C2" t="s">
        <v>175</v>
      </c>
    </row>
    <row r="3" spans="2:3" ht="12.75">
      <c r="B3">
        <v>57840.2</v>
      </c>
      <c r="C3" t="s">
        <v>174</v>
      </c>
    </row>
    <row r="4" spans="2:3" ht="12.75">
      <c r="B4" s="236">
        <v>0.95</v>
      </c>
      <c r="C4" t="s">
        <v>187</v>
      </c>
    </row>
    <row r="5" spans="2:3" ht="12.75">
      <c r="B5" s="237">
        <f>+B3*B4</f>
        <v>54948.189999999995</v>
      </c>
      <c r="C5" t="s">
        <v>168</v>
      </c>
    </row>
    <row r="7" spans="2:6" ht="12.75">
      <c r="B7" s="231">
        <f>+B5/12</f>
        <v>4579.015833333333</v>
      </c>
      <c r="C7" t="s">
        <v>169</v>
      </c>
      <c r="E7">
        <v>0.626</v>
      </c>
      <c r="F7" t="s">
        <v>165</v>
      </c>
    </row>
    <row r="10" spans="1:4" ht="28.5" customHeight="1">
      <c r="A10" s="247" t="s">
        <v>176</v>
      </c>
      <c r="B10" s="247" t="s">
        <v>183</v>
      </c>
      <c r="C10" s="247" t="s">
        <v>180</v>
      </c>
      <c r="D10" s="247" t="s">
        <v>166</v>
      </c>
    </row>
    <row r="11" spans="1:4" ht="12.75">
      <c r="A11" s="242">
        <v>1</v>
      </c>
      <c r="B11" s="232" t="s">
        <v>177</v>
      </c>
      <c r="C11" s="242">
        <v>6</v>
      </c>
      <c r="D11" s="233">
        <f>C11*$B$1</f>
        <v>2892.0099999999998</v>
      </c>
    </row>
    <row r="12" spans="1:4" ht="12.75">
      <c r="A12" s="242">
        <v>2</v>
      </c>
      <c r="B12" s="232" t="s">
        <v>178</v>
      </c>
      <c r="C12" s="242">
        <v>5</v>
      </c>
      <c r="D12" s="233">
        <f aca="true" t="shared" si="0" ref="D12:D20">C12*$B$1</f>
        <v>2410.008333333333</v>
      </c>
    </row>
    <row r="13" spans="1:4" ht="12.75">
      <c r="A13" s="242">
        <v>3</v>
      </c>
      <c r="B13" s="232" t="s">
        <v>186</v>
      </c>
      <c r="C13" s="242">
        <v>4</v>
      </c>
      <c r="D13" s="233">
        <f t="shared" si="0"/>
        <v>1928.0066666666664</v>
      </c>
    </row>
    <row r="14" spans="1:4" ht="12.75">
      <c r="A14" s="242">
        <v>4</v>
      </c>
      <c r="B14" s="232" t="s">
        <v>186</v>
      </c>
      <c r="C14" s="242">
        <v>4</v>
      </c>
      <c r="D14" s="233">
        <f t="shared" si="0"/>
        <v>1928.0066666666664</v>
      </c>
    </row>
    <row r="15" spans="1:4" ht="12.75">
      <c r="A15" s="242">
        <v>5</v>
      </c>
      <c r="B15" s="232" t="s">
        <v>177</v>
      </c>
      <c r="C15" s="242">
        <v>6</v>
      </c>
      <c r="D15" s="233">
        <f>C15*$B$1</f>
        <v>2892.0099999999998</v>
      </c>
    </row>
    <row r="16" spans="1:4" ht="12.75">
      <c r="A16" s="242">
        <v>6</v>
      </c>
      <c r="B16" s="232" t="s">
        <v>177</v>
      </c>
      <c r="C16" s="242">
        <v>6</v>
      </c>
      <c r="D16" s="233">
        <f t="shared" si="0"/>
        <v>2892.0099999999998</v>
      </c>
    </row>
    <row r="17" spans="1:4" ht="12.75">
      <c r="A17" s="242">
        <v>7</v>
      </c>
      <c r="B17" s="232" t="s">
        <v>177</v>
      </c>
      <c r="C17" s="242">
        <v>6</v>
      </c>
      <c r="D17" s="233">
        <f t="shared" si="0"/>
        <v>2892.0099999999998</v>
      </c>
    </row>
    <row r="18" spans="1:4" ht="12.75">
      <c r="A18" s="242">
        <v>8</v>
      </c>
      <c r="B18" s="232" t="s">
        <v>177</v>
      </c>
      <c r="C18" s="242">
        <v>6</v>
      </c>
      <c r="D18" s="233">
        <f t="shared" si="0"/>
        <v>2892.0099999999998</v>
      </c>
    </row>
    <row r="19" spans="1:4" ht="12.75">
      <c r="A19" s="242">
        <v>9</v>
      </c>
      <c r="B19" s="232" t="s">
        <v>177</v>
      </c>
      <c r="C19" s="242">
        <v>6</v>
      </c>
      <c r="D19" s="233">
        <f t="shared" si="0"/>
        <v>2892.0099999999998</v>
      </c>
    </row>
    <row r="20" spans="1:4" ht="12.75">
      <c r="A20" s="242">
        <v>10</v>
      </c>
      <c r="B20" s="232" t="s">
        <v>177</v>
      </c>
      <c r="C20" s="242">
        <v>6</v>
      </c>
      <c r="D20" s="233">
        <f t="shared" si="0"/>
        <v>2892.0099999999998</v>
      </c>
    </row>
    <row r="21" spans="2:5" ht="12.75">
      <c r="B21" s="248"/>
      <c r="C21" s="248" t="s">
        <v>182</v>
      </c>
      <c r="D21" s="235">
        <f>SUM(D11:D20)</f>
        <v>26510.09166666666</v>
      </c>
      <c r="E21" s="249"/>
    </row>
    <row r="22" spans="2:4" ht="12.75">
      <c r="B22" s="248"/>
      <c r="C22" s="248" t="s">
        <v>181</v>
      </c>
      <c r="D22" s="235">
        <f>D21*B4</f>
        <v>25184.587083333325</v>
      </c>
    </row>
    <row r="24" spans="2:5" ht="12.75">
      <c r="B24" t="s">
        <v>172</v>
      </c>
      <c r="C24" t="s">
        <v>171</v>
      </c>
      <c r="D24" t="s">
        <v>166</v>
      </c>
      <c r="E24" t="s">
        <v>167</v>
      </c>
    </row>
    <row r="25" spans="2:5" ht="12.75">
      <c r="B25" s="232">
        <v>2008</v>
      </c>
      <c r="C25" s="232">
        <v>0</v>
      </c>
      <c r="D25" s="232">
        <v>0</v>
      </c>
      <c r="E25" s="233">
        <f>+D25*$E$7</f>
        <v>0</v>
      </c>
    </row>
    <row r="26" spans="2:5" ht="12.75">
      <c r="B26" s="232">
        <v>2009</v>
      </c>
      <c r="C26" s="234">
        <v>6</v>
      </c>
      <c r="D26" s="234">
        <f>D22</f>
        <v>25184.587083333325</v>
      </c>
      <c r="E26" s="233">
        <f>+D26*$E$7</f>
        <v>15765.551514166662</v>
      </c>
    </row>
    <row r="27" spans="2:5" ht="12.75">
      <c r="B27" s="232">
        <v>2010</v>
      </c>
      <c r="C27" s="232">
        <v>12</v>
      </c>
      <c r="D27" s="234">
        <f>$B$7*C27</f>
        <v>54948.189999999995</v>
      </c>
      <c r="E27" s="233">
        <f>+D27*$E$7</f>
        <v>34397.56694</v>
      </c>
    </row>
    <row r="28" spans="2:5" ht="12.75">
      <c r="B28" s="232">
        <v>2011</v>
      </c>
      <c r="C28" s="232">
        <v>12</v>
      </c>
      <c r="D28" s="234">
        <f>$B$7*C28</f>
        <v>54948.189999999995</v>
      </c>
      <c r="E28" s="233">
        <f>+D28*$E$7</f>
        <v>34397.56694</v>
      </c>
    </row>
    <row r="29" spans="2:5" ht="12.75">
      <c r="B29" s="232">
        <v>2012</v>
      </c>
      <c r="C29" s="232">
        <v>12</v>
      </c>
      <c r="D29" s="234">
        <f>$B$7*C29</f>
        <v>54948.189999999995</v>
      </c>
      <c r="E29" s="233">
        <f>+D29*$E$7</f>
        <v>34397.56694</v>
      </c>
    </row>
    <row r="30" spans="2:5" ht="12.75">
      <c r="B30" s="239" t="s">
        <v>73</v>
      </c>
      <c r="C30" s="239">
        <f>SUM(C25:C29)</f>
        <v>42</v>
      </c>
      <c r="D30" s="240">
        <f>SUM(D25:D29)</f>
        <v>190029.15708333332</v>
      </c>
      <c r="E30" s="238">
        <f>SUM(E25:E29)</f>
        <v>118958.25233416664</v>
      </c>
    </row>
    <row r="31" spans="2:5" ht="12.75">
      <c r="B31" s="241" t="s">
        <v>170</v>
      </c>
      <c r="E31" s="235">
        <f>+E30/42*12</f>
        <v>33988.07209547618</v>
      </c>
    </row>
    <row r="37" ht="12.75">
      <c r="B37" t="s">
        <v>184</v>
      </c>
    </row>
    <row r="39" spans="2:3" ht="12.75">
      <c r="B39" t="s">
        <v>166</v>
      </c>
      <c r="C39" t="s">
        <v>167</v>
      </c>
    </row>
    <row r="40" spans="1:4" ht="12.75">
      <c r="A40">
        <v>2002</v>
      </c>
      <c r="B40">
        <v>736604</v>
      </c>
      <c r="C40">
        <v>464522</v>
      </c>
      <c r="D40" s="250">
        <f>+C40/B40</f>
        <v>0.6306264967336588</v>
      </c>
    </row>
    <row r="41" spans="1:4" ht="12.75">
      <c r="A41">
        <v>2003</v>
      </c>
      <c r="B41">
        <v>723858</v>
      </c>
      <c r="C41">
        <v>442824</v>
      </c>
      <c r="D41" s="250">
        <f>+C41/B41</f>
        <v>0.6117553442802317</v>
      </c>
    </row>
    <row r="42" spans="1:4" ht="12.75">
      <c r="A42">
        <v>2004</v>
      </c>
      <c r="B42">
        <v>745372</v>
      </c>
      <c r="C42">
        <v>470712</v>
      </c>
      <c r="D42" s="250">
        <f>+C42/B42</f>
        <v>0.6315128553259313</v>
      </c>
    </row>
    <row r="43" spans="1:6" ht="12.75">
      <c r="A43">
        <v>2005</v>
      </c>
      <c r="B43">
        <v>1072814</v>
      </c>
      <c r="C43">
        <v>677290</v>
      </c>
      <c r="D43" s="250">
        <f>+C43/B43</f>
        <v>0.6313209932010582</v>
      </c>
      <c r="F43" s="250"/>
    </row>
    <row r="44" spans="1:5" ht="12.75">
      <c r="A44" t="s">
        <v>185</v>
      </c>
      <c r="B44" s="252">
        <f>AVERAGE(B40:B43)</f>
        <v>819662</v>
      </c>
      <c r="C44" s="252">
        <f>AVERAGE(C40:C43)</f>
        <v>513837</v>
      </c>
      <c r="D44" s="253">
        <f>+AVERAGE(D40:D43)</f>
        <v>0.62630392238522</v>
      </c>
      <c r="E44" s="250"/>
    </row>
    <row r="45" spans="6:12" ht="12.75">
      <c r="F45" s="245" t="s">
        <v>166</v>
      </c>
      <c r="H45" t="s">
        <v>166</v>
      </c>
      <c r="I45" t="s">
        <v>167</v>
      </c>
      <c r="L45" s="245" t="s">
        <v>167</v>
      </c>
    </row>
    <row r="46" spans="1:13" ht="12.75">
      <c r="A46">
        <v>2008</v>
      </c>
      <c r="B46" s="231">
        <f>AVERAGE(B40:B43)</f>
        <v>819662</v>
      </c>
      <c r="C46" s="231">
        <f>C44</f>
        <v>513837</v>
      </c>
      <c r="D46" s="250">
        <f>D44</f>
        <v>0.62630392238522</v>
      </c>
      <c r="E46" s="250"/>
      <c r="F46" s="245">
        <f>D25</f>
        <v>0</v>
      </c>
      <c r="H46" s="231">
        <f>B46-F46</f>
        <v>819662</v>
      </c>
      <c r="I46" s="231">
        <f>C46-L46</f>
        <v>513837</v>
      </c>
      <c r="J46" s="250"/>
      <c r="L46" s="254">
        <f>F46*0.626</f>
        <v>0</v>
      </c>
      <c r="M46" s="231"/>
    </row>
    <row r="47" spans="1:13" ht="12.75">
      <c r="A47">
        <v>2009</v>
      </c>
      <c r="B47" s="231">
        <f aca="true" t="shared" si="1" ref="B47:D50">B46</f>
        <v>819662</v>
      </c>
      <c r="C47" s="231">
        <f t="shared" si="1"/>
        <v>513837</v>
      </c>
      <c r="D47" s="250">
        <f t="shared" si="1"/>
        <v>0.62630392238522</v>
      </c>
      <c r="E47" s="250"/>
      <c r="F47" s="251">
        <f>D26</f>
        <v>25184.587083333325</v>
      </c>
      <c r="H47" s="231">
        <f>B47-F47</f>
        <v>794477.4129166667</v>
      </c>
      <c r="I47" s="231">
        <f>C47-L47</f>
        <v>498071.44848583336</v>
      </c>
      <c r="J47" s="250"/>
      <c r="L47" s="254">
        <f>F47*0.626</f>
        <v>15765.551514166662</v>
      </c>
      <c r="M47" s="231"/>
    </row>
    <row r="48" spans="1:13" ht="12.75">
      <c r="A48">
        <v>2010</v>
      </c>
      <c r="B48" s="231">
        <f t="shared" si="1"/>
        <v>819662</v>
      </c>
      <c r="C48" s="231">
        <f t="shared" si="1"/>
        <v>513837</v>
      </c>
      <c r="D48" s="250">
        <f t="shared" si="1"/>
        <v>0.62630392238522</v>
      </c>
      <c r="E48" s="250"/>
      <c r="F48" s="251">
        <f>D27</f>
        <v>54948.189999999995</v>
      </c>
      <c r="H48" s="231">
        <f>B48-F48</f>
        <v>764713.81</v>
      </c>
      <c r="I48" s="231">
        <f>C48-L48</f>
        <v>479439.43306</v>
      </c>
      <c r="J48" s="250"/>
      <c r="L48" s="254">
        <f>F48*0.626</f>
        <v>34397.56694</v>
      </c>
      <c r="M48" s="231"/>
    </row>
    <row r="49" spans="1:13" ht="12.75">
      <c r="A49">
        <v>2011</v>
      </c>
      <c r="B49" s="231">
        <f t="shared" si="1"/>
        <v>819662</v>
      </c>
      <c r="C49" s="231">
        <f t="shared" si="1"/>
        <v>513837</v>
      </c>
      <c r="D49" s="250">
        <f t="shared" si="1"/>
        <v>0.62630392238522</v>
      </c>
      <c r="E49" s="250"/>
      <c r="F49" s="251">
        <f>D28</f>
        <v>54948.189999999995</v>
      </c>
      <c r="H49" s="231">
        <f>B49-F49</f>
        <v>764713.81</v>
      </c>
      <c r="I49" s="231">
        <f>C49-L49</f>
        <v>479439.43306</v>
      </c>
      <c r="J49" s="250"/>
      <c r="L49" s="254">
        <f>F49*0.626</f>
        <v>34397.56694</v>
      </c>
      <c r="M49" s="231"/>
    </row>
    <row r="50" spans="1:13" ht="12.75">
      <c r="A50">
        <v>2012</v>
      </c>
      <c r="B50" s="231">
        <f t="shared" si="1"/>
        <v>819662</v>
      </c>
      <c r="C50" s="231">
        <f t="shared" si="1"/>
        <v>513837</v>
      </c>
      <c r="D50" s="250">
        <f t="shared" si="1"/>
        <v>0.62630392238522</v>
      </c>
      <c r="E50" s="250"/>
      <c r="F50" s="251">
        <f>D29</f>
        <v>54948.189999999995</v>
      </c>
      <c r="H50" s="231">
        <f>B50-F50</f>
        <v>764713.81</v>
      </c>
      <c r="I50" s="231">
        <f>C50-L50</f>
        <v>479439.43306</v>
      </c>
      <c r="J50" s="250"/>
      <c r="L50" s="254">
        <f>F50*0.626</f>
        <v>34397.56694</v>
      </c>
      <c r="M50" s="231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Arturas</cp:lastModifiedBy>
  <cp:lastPrinted>2008-10-03T18:15:10Z</cp:lastPrinted>
  <dcterms:created xsi:type="dcterms:W3CDTF">2003-04-06T10:02:05Z</dcterms:created>
  <dcterms:modified xsi:type="dcterms:W3CDTF">2010-08-16T11:02:21Z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