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6_17.bin" ContentType="application/vnd.openxmlformats-officedocument.oleObject"/>
  <Override PartName="/xl/embeddings/oleObject_6_18.bin" ContentType="application/vnd.openxmlformats-officedocument.oleObject"/>
  <Override PartName="/xl/embeddings/oleObject_6_19.bin" ContentType="application/vnd.openxmlformats-officedocument.oleObject"/>
  <Override PartName="/xl/embeddings/oleObject_6_20.bin" ContentType="application/vnd.openxmlformats-officedocument.oleObject"/>
  <Override PartName="/xl/embeddings/oleObject_6_21.bin" ContentType="application/vnd.openxmlformats-officedocument.oleObject"/>
  <Override PartName="/xl/embeddings/oleObject_6_22.bin" ContentType="application/vnd.openxmlformats-officedocument.oleObject"/>
  <Override PartName="/xl/embeddings/oleObject_6_23.bin" ContentType="application/vnd.openxmlformats-officedocument.oleObject"/>
  <Override PartName="/xl/embeddings/oleObject_6_24.bin" ContentType="application/vnd.openxmlformats-officedocument.oleObject"/>
  <Override PartName="/xl/embeddings/oleObject_6_25.bin" ContentType="application/vnd.openxmlformats-officedocument.oleObject"/>
  <Override PartName="/xl/embeddings/oleObject_6_26.bin" ContentType="application/vnd.openxmlformats-officedocument.oleObject"/>
  <Override PartName="/xl/embeddings/oleObject_6_27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  <Override PartName="/xl/embeddings/oleObject_7_9.bin" ContentType="application/vnd.openxmlformats-officedocument.oleObject"/>
  <Override PartName="/xl/embeddings/oleObject_7_10.bin" ContentType="application/vnd.openxmlformats-officedocument.oleObject"/>
  <Override PartName="/xl/embeddings/oleObject_7_11.bin" ContentType="application/vnd.openxmlformats-officedocument.oleObject"/>
  <Override PartName="/xl/embeddings/oleObject_7_12.bin" ContentType="application/vnd.openxmlformats-officedocument.oleObject"/>
  <Override PartName="/xl/embeddings/oleObject_7_13.bin" ContentType="application/vnd.openxmlformats-officedocument.oleObject"/>
  <Override PartName="/xl/embeddings/oleObject_7_14.bin" ContentType="application/vnd.openxmlformats-officedocument.oleObject"/>
  <Override PartName="/xl/embeddings/oleObject_7_15.bin" ContentType="application/vnd.openxmlformats-officedocument.oleObject"/>
  <Override PartName="/xl/embeddings/oleObject_7_16.bin" ContentType="application/vnd.openxmlformats-officedocument.oleObject"/>
  <Override PartName="/xl/embeddings/oleObject_7_17.bin" ContentType="application/vnd.openxmlformats-officedocument.oleObject"/>
  <Override PartName="/xl/embeddings/oleObject_7_18.bin" ContentType="application/vnd.openxmlformats-officedocument.oleObject"/>
  <Override PartName="/xl/embeddings/oleObject_7_19.bin" ContentType="application/vnd.openxmlformats-officedocument.oleObject"/>
  <Override PartName="/xl/embeddings/oleObject_7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5480" windowHeight="6000" tabRatio="834" firstSheet="4" activeTab="9"/>
  </bookViews>
  <sheets>
    <sheet name="Overview" sheetId="1" r:id="rId1"/>
    <sheet name="General " sheetId="2" r:id="rId2"/>
    <sheet name="CMM supply" sheetId="3" r:id="rId3"/>
    <sheet name="CMM consumption" sheetId="4" r:id="rId4"/>
    <sheet name="Emission factors " sheetId="5" r:id="rId5"/>
    <sheet name="Heat load" sheetId="6" r:id="rId6"/>
    <sheet name="Project emissions" sheetId="7" r:id="rId7"/>
    <sheet name="Baseline emissions" sheetId="8" r:id="rId8"/>
    <sheet name="Total section E" sheetId="9" r:id="rId9"/>
    <sheet name="Total section A.4.3" sheetId="10" r:id="rId10"/>
    <sheet name="Total section A.4.3.1" sheetId="11" r:id="rId11"/>
  </sheets>
  <definedNames>
    <definedName name="_xlnm.Print_Area" localSheetId="0">'Overview'!$A$1:$L$79</definedName>
  </definedNames>
  <calcPr fullCalcOnLoad="1"/>
</workbook>
</file>

<file path=xl/comments2.xml><?xml version="1.0" encoding="utf-8"?>
<comments xmlns="http://schemas.openxmlformats.org/spreadsheetml/2006/main">
  <authors>
    <author>valeriy</author>
    <author>1</author>
  </authors>
  <commentList>
    <comment ref="A4" authorId="0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#8. Calculation of the gross emissions of the pollutants of the gas-piston plants to the atmosphere</t>
        </r>
      </text>
    </comment>
    <comment ref="C7" authorId="0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Figure is for Methane concentration=100% in case of 30% concentration in the mixture</t>
        </r>
      </text>
    </comment>
    <comment ref="A40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>double block</t>
        </r>
      </text>
    </comment>
  </commentList>
</comments>
</file>

<file path=xl/comments4.xml><?xml version="1.0" encoding="utf-8"?>
<comments xmlns="http://schemas.openxmlformats.org/spreadsheetml/2006/main">
  <authors>
    <author>1</author>
    <author>valeriy</author>
    <author>Lennard de Klerk</author>
  </authors>
  <commentList>
    <comment ref="J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Получена со станции 4.10.2006
</t>
        </r>
      </text>
    </comment>
    <comment ref="A86" authorId="1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november and dicember
2007=45working days</t>
        </r>
      </text>
    </comment>
    <comment ref="D87" authorId="1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111 working days</t>
        </r>
      </text>
    </comment>
    <comment ref="B86" authorId="1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45 working days according to imp.plan
</t>
        </r>
      </text>
    </comment>
    <comment ref="B8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2 double- block AGFCPM</t>
        </r>
      </text>
    </comment>
    <comment ref="B54" authorId="2">
      <text>
        <r>
          <rPr>
            <b/>
            <sz val="8"/>
            <rFont val="Tahoma"/>
            <family val="0"/>
          </rPr>
          <t>Lennard de Klerk:</t>
        </r>
        <r>
          <rPr>
            <sz val="8"/>
            <rFont val="Tahoma"/>
            <family val="0"/>
          </rPr>
          <t xml:space="preserve">
Working hours have been reduced as Yakovlevska will be commissioned in July 2008. To be on safe side Oct 2008 has been assumed.</t>
        </r>
      </text>
    </comment>
  </commentList>
</comments>
</file>

<file path=xl/comments6.xml><?xml version="1.0" encoding="utf-8"?>
<comments xmlns="http://schemas.openxmlformats.org/spreadsheetml/2006/main">
  <authors>
    <author>1</author>
    <author>valeriy</author>
  </authors>
  <commentList>
    <comment ref="E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Heat delivered to the site from CHP</t>
        </r>
      </text>
    </comment>
    <comment ref="D21" authorId="1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According to working and implemantetion  plan for Yakovlevskaya CHP facility</t>
        </r>
      </text>
    </comment>
    <comment ref="E21" authorId="1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According to working and implemantetion  plan for Yakovlevskaya CHP facility</t>
        </r>
      </text>
    </comment>
  </commentList>
</comments>
</file>

<file path=xl/comments8.xml><?xml version="1.0" encoding="utf-8"?>
<comments xmlns="http://schemas.openxmlformats.org/spreadsheetml/2006/main">
  <authors>
    <author>valeriy</author>
    <author>1</author>
  </authors>
  <commentList>
    <comment ref="D57" authorId="0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Source:Zasyadko Mine</t>
        </r>
      </text>
    </comment>
    <comment ref="A46" authorId="0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For  2008-2012</t>
        </r>
      </text>
    </comment>
    <comment ref="D39" authorId="0">
      <text>
        <r>
          <rPr>
            <b/>
            <sz val="8"/>
            <rFont val="Tahoma"/>
            <family val="0"/>
          </rPr>
          <t>valeriy:</t>
        </r>
        <r>
          <rPr>
            <sz val="8"/>
            <rFont val="Tahoma"/>
            <family val="0"/>
          </rPr>
          <t xml:space="preserve">
For 2006-2007</t>
        </r>
      </text>
    </comment>
    <comment ref="C57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Source-Zasyadko Mine</t>
        </r>
      </text>
    </comment>
  </commentList>
</comments>
</file>

<file path=xl/sharedStrings.xml><?xml version="1.0" encoding="utf-8"?>
<sst xmlns="http://schemas.openxmlformats.org/spreadsheetml/2006/main" count="653" uniqueCount="325">
  <si>
    <t xml:space="preserve">Mwt </t>
  </si>
  <si>
    <t>Gcal/h</t>
  </si>
  <si>
    <t>m3/h</t>
  </si>
  <si>
    <t xml:space="preserve">      CHP technical characteristics </t>
  </si>
  <si>
    <t>Table1</t>
  </si>
  <si>
    <t>Centralnaya</t>
  </si>
  <si>
    <t>%</t>
  </si>
  <si>
    <t>tC/TJ</t>
  </si>
  <si>
    <t>tCO2/GJ</t>
  </si>
  <si>
    <t>m3</t>
  </si>
  <si>
    <t>1 CHP   Unit,  MWthours</t>
  </si>
  <si>
    <t>24 CHP Units,MWthours</t>
  </si>
  <si>
    <t>Table3</t>
  </si>
  <si>
    <t xml:space="preserve">  1 CHP   Unit,   Gcal</t>
  </si>
  <si>
    <t>24 CHP   Units,  Gcal</t>
  </si>
  <si>
    <t>Table4</t>
  </si>
  <si>
    <t>Methan consumption ,m3/year 100% load</t>
  </si>
  <si>
    <t xml:space="preserve"> 1 CHP  Unit</t>
  </si>
  <si>
    <t>24 CHP Units</t>
  </si>
  <si>
    <t>Table5</t>
  </si>
  <si>
    <t>Methan consumption ,t/year</t>
  </si>
  <si>
    <t xml:space="preserve">  1 CHP  Unit</t>
  </si>
  <si>
    <t>24 CHP  Units</t>
  </si>
  <si>
    <t>Table6</t>
  </si>
  <si>
    <t>CO2 emissions t/year</t>
  </si>
  <si>
    <t>Year 2006</t>
  </si>
  <si>
    <t>Vostochnaya Mine</t>
  </si>
  <si>
    <t>Month</t>
  </si>
  <si>
    <t>Hours of work,h</t>
  </si>
  <si>
    <t>Electricity,MWh</t>
  </si>
  <si>
    <r>
      <t>P</t>
    </r>
    <r>
      <rPr>
        <b/>
        <sz val="10"/>
        <rFont val="Times New Roman"/>
        <family val="1"/>
      </rPr>
      <t>el</t>
    </r>
  </si>
  <si>
    <r>
      <t>P</t>
    </r>
    <r>
      <rPr>
        <b/>
        <sz val="10"/>
        <rFont val="Times New Roman"/>
        <family val="1"/>
      </rPr>
      <t>ht</t>
    </r>
  </si>
  <si>
    <t>CH4 consumption, tn</t>
  </si>
  <si>
    <t>Years</t>
  </si>
  <si>
    <t>Total *</t>
  </si>
  <si>
    <t>Total</t>
  </si>
  <si>
    <t>TOTAL</t>
  </si>
  <si>
    <t>Year 2007</t>
  </si>
  <si>
    <t>Yakovleva Mine</t>
  </si>
  <si>
    <t>Year 2008</t>
  </si>
  <si>
    <t>Year 2009</t>
  </si>
  <si>
    <t>Year 2010</t>
  </si>
  <si>
    <t>Year 2011</t>
  </si>
  <si>
    <t>Year 2012</t>
  </si>
  <si>
    <t>Consumption</t>
  </si>
  <si>
    <t>N/A</t>
  </si>
  <si>
    <t>* 85% load</t>
  </si>
  <si>
    <t>Gas-filling compressor plant AGFCP-45</t>
  </si>
  <si>
    <t>Value</t>
  </si>
  <si>
    <t>Units</t>
  </si>
  <si>
    <t>Gas capacity</t>
  </si>
  <si>
    <t>Nm3/day</t>
  </si>
  <si>
    <t>Suction presure</t>
  </si>
  <si>
    <t>Mpa</t>
  </si>
  <si>
    <t>Number of automobiles to be filled up</t>
  </si>
  <si>
    <t>unit/day</t>
  </si>
  <si>
    <t xml:space="preserve"> max </t>
  </si>
  <si>
    <t xml:space="preserve">min    </t>
  </si>
  <si>
    <t>Number of compressors</t>
  </si>
  <si>
    <t>unit</t>
  </si>
  <si>
    <t>Number of compression stages</t>
  </si>
  <si>
    <t>Total Power requirements</t>
  </si>
  <si>
    <t>kw</t>
  </si>
  <si>
    <t>250 working days in a year</t>
  </si>
  <si>
    <r>
      <t>Where:</t>
    </r>
    <r>
      <rPr>
        <vertAlign val="superscript"/>
        <sz val="11"/>
        <rFont val="Times New Roman"/>
        <family val="1"/>
      </rPr>
      <t xml:space="preserve"> </t>
    </r>
  </si>
  <si>
    <t>y (tCO2e)</t>
  </si>
  <si>
    <t>(tCO2e)</t>
  </si>
  <si>
    <t xml:space="preserve">Project emission in year </t>
  </si>
  <si>
    <t xml:space="preserve">Project emissions from un-combusted methane </t>
  </si>
  <si>
    <t xml:space="preserve">Project emissions from methane destroyed </t>
  </si>
  <si>
    <t>Formula:</t>
  </si>
  <si>
    <t>Source:Zasyadko Mine</t>
  </si>
  <si>
    <t>Yakovlevskaya</t>
  </si>
  <si>
    <t xml:space="preserve">Total </t>
  </si>
  <si>
    <t>tCH4</t>
  </si>
  <si>
    <t>Power genearation and CH4 consumption</t>
  </si>
  <si>
    <t>The project emissions from methane destroyed</t>
  </si>
  <si>
    <r>
      <t>The project emissions from methane destroyed are given by the following equation. All methane will be destroyed in CHPs. Therefore MD</t>
    </r>
    <r>
      <rPr>
        <vertAlign val="subscript"/>
        <sz val="11"/>
        <rFont val="Times New Roman"/>
        <family val="1"/>
      </rPr>
      <t>ELEC</t>
    </r>
    <r>
      <rPr>
        <sz val="11"/>
        <rFont val="Times New Roman"/>
        <family val="1"/>
      </rPr>
      <t xml:space="preserve"> and MD</t>
    </r>
    <r>
      <rPr>
        <vertAlign val="subscript"/>
        <sz val="11"/>
        <rFont val="Times New Roman"/>
        <family val="1"/>
      </rPr>
      <t>HEAT</t>
    </r>
    <r>
      <rPr>
        <sz val="11"/>
        <rFont val="Times New Roman"/>
        <family val="1"/>
      </rPr>
      <t xml:space="preserve"> are combined into MD</t>
    </r>
    <r>
      <rPr>
        <vertAlign val="subscript"/>
        <sz val="11"/>
        <rFont val="Times New Roman"/>
        <family val="1"/>
      </rPr>
      <t>CHP</t>
    </r>
    <r>
      <rPr>
        <sz val="11"/>
        <rFont val="Times New Roman"/>
        <family val="1"/>
      </rPr>
      <t>. No flaring takes place so MD</t>
    </r>
    <r>
      <rPr>
        <vertAlign val="subscript"/>
        <sz val="11"/>
        <rFont val="Times New Roman"/>
        <family val="1"/>
      </rPr>
      <t>FL</t>
    </r>
    <r>
      <rPr>
        <sz val="11"/>
        <rFont val="Times New Roman"/>
        <family val="1"/>
      </rPr>
      <t xml:space="preserve"> = 0</t>
    </r>
  </si>
  <si>
    <r>
      <t>PE</t>
    </r>
    <r>
      <rPr>
        <i/>
        <vertAlign val="subscript"/>
        <sz val="11"/>
        <rFont val="Times New Roman"/>
        <family val="1"/>
      </rPr>
      <t>MD</t>
    </r>
  </si>
  <si>
    <t>Emissions of CHP</t>
  </si>
  <si>
    <t>The emissions of the CHPs are given by the following equation</t>
  </si>
  <si>
    <t xml:space="preserve">  </t>
  </si>
  <si>
    <t>where:</t>
  </si>
  <si>
    <t>Methane destroyed through power and heat generation (tCH4)</t>
  </si>
  <si>
    <t>Methane measured sent to power plant (tCH4)</t>
  </si>
  <si>
    <t xml:space="preserve"> </t>
  </si>
  <si>
    <t>Efficiency of methane destruction/oxidation in power plant (taken as 99.5% from IPCC)</t>
  </si>
  <si>
    <t>where</t>
  </si>
  <si>
    <t>The Methane consumption for power and heat generation( tCH4):</t>
  </si>
  <si>
    <t>Year</t>
  </si>
  <si>
    <t>Emissions of gas utilization</t>
  </si>
  <si>
    <t>The emissions as a result are given by the following equations.</t>
  </si>
  <si>
    <t xml:space="preserve">Methane destroyed after being supplied to the gas filling stations (tCH4) </t>
  </si>
  <si>
    <r>
      <t>Methane measured supplied to gas grid for vehicle use (tCH4)</t>
    </r>
    <r>
      <rPr>
        <sz val="11"/>
        <rFont val="Times New Roman"/>
        <family val="1"/>
      </rPr>
      <t xml:space="preserve"> </t>
    </r>
  </si>
  <si>
    <t>Overall efficiency of methane destruction/oxidation through gas grid</t>
  </si>
  <si>
    <t>(taken as 98.5% from IPCC)</t>
  </si>
  <si>
    <t>=</t>
  </si>
  <si>
    <r>
      <t>CEF</t>
    </r>
    <r>
      <rPr>
        <vertAlign val="subscript"/>
        <sz val="11"/>
        <rFont val="Times New Roman"/>
        <family val="1"/>
      </rPr>
      <t>CH4</t>
    </r>
  </si>
  <si>
    <t>Emissions from un-combusted methane</t>
  </si>
  <si>
    <t>1-</t>
  </si>
  <si>
    <t xml:space="preserve">  1-</t>
  </si>
  <si>
    <r>
      <t>PE</t>
    </r>
    <r>
      <rPr>
        <i/>
        <vertAlign val="subscript"/>
        <sz val="11"/>
        <color indexed="8"/>
        <rFont val="Times New Roman"/>
        <family val="1"/>
      </rPr>
      <t>um</t>
    </r>
  </si>
  <si>
    <r>
      <t>MM</t>
    </r>
    <r>
      <rPr>
        <i/>
        <vertAlign val="subscript"/>
        <sz val="11"/>
        <color indexed="8"/>
        <rFont val="Times New Roman"/>
        <family val="1"/>
      </rPr>
      <t>GAS</t>
    </r>
  </si>
  <si>
    <r>
      <t>PE</t>
    </r>
    <r>
      <rPr>
        <i/>
        <vertAlign val="subscript"/>
        <sz val="11"/>
        <color indexed="8"/>
        <rFont val="Times New Roman"/>
        <family val="1"/>
      </rPr>
      <t>Y</t>
    </r>
  </si>
  <si>
    <t>Description</t>
  </si>
  <si>
    <r>
      <t>BE</t>
    </r>
    <r>
      <rPr>
        <i/>
        <vertAlign val="subscript"/>
        <sz val="11"/>
        <rFont val="Times New Roman"/>
        <family val="1"/>
      </rPr>
      <t>y</t>
    </r>
  </si>
  <si>
    <r>
      <t>BE</t>
    </r>
    <r>
      <rPr>
        <i/>
        <vertAlign val="subscript"/>
        <sz val="11"/>
        <rFont val="Times New Roman"/>
        <family val="1"/>
      </rPr>
      <t>MR,y</t>
    </r>
  </si>
  <si>
    <r>
      <t>BE</t>
    </r>
    <r>
      <rPr>
        <i/>
        <vertAlign val="subscript"/>
        <sz val="11"/>
        <rFont val="Times New Roman"/>
        <family val="1"/>
      </rPr>
      <t>Use,y</t>
    </r>
  </si>
  <si>
    <t>Baseline emissions in year y</t>
  </si>
  <si>
    <t>tCO2e</t>
  </si>
  <si>
    <t>Baseline emissions from release of methane into the atmosphere in year y that is avoided by the project activity</t>
  </si>
  <si>
    <t>Baseline emissions from the production of power, heat or supply to gas grid replaced by the project activity in year y</t>
  </si>
  <si>
    <r>
      <t>PMM</t>
    </r>
    <r>
      <rPr>
        <i/>
        <vertAlign val="subscript"/>
        <sz val="11"/>
        <rFont val="Times New Roman"/>
        <family val="1"/>
      </rPr>
      <t xml:space="preserve">PJ,CHP,y </t>
    </r>
  </si>
  <si>
    <r>
      <t>PMM</t>
    </r>
    <r>
      <rPr>
        <i/>
        <vertAlign val="subscript"/>
        <sz val="11"/>
        <rFont val="Times New Roman"/>
        <family val="1"/>
      </rPr>
      <t>PJ,GAS,y</t>
    </r>
  </si>
  <si>
    <t>Total baseline emissions from the production of power replaced by the project activity in year y</t>
  </si>
  <si>
    <t>Net electricity generated by the project activity by the CHP plants</t>
  </si>
  <si>
    <t>Emissions factor of electricity of displaced grid electricity production by the project activity</t>
  </si>
  <si>
    <t>Emissions factor of electricity of displace grid electricity consumption by the project activity</t>
  </si>
  <si>
    <t xml:space="preserve">Net electricity consumed by the mine on-site </t>
  </si>
  <si>
    <r>
      <t>tCO</t>
    </r>
    <r>
      <rPr>
        <vertAlign val="subscript"/>
        <sz val="11"/>
        <rFont val="Times New Roman"/>
        <family val="1"/>
      </rPr>
      <t>2</t>
    </r>
  </si>
  <si>
    <t>MWh</t>
  </si>
  <si>
    <t>Zasyadko Mine</t>
  </si>
  <si>
    <t>Source: Ministry of Economic Affairs of the Netherlands, 2004, "Operational Guidelined for Project Design Documents of Joint Implementation Projects"</t>
  </si>
  <si>
    <t xml:space="preserve">Source: </t>
  </si>
  <si>
    <t xml:space="preserve">Heat generation by project activity in a year y and delivered to district heating </t>
  </si>
  <si>
    <t>(GJ)</t>
  </si>
  <si>
    <r>
      <t xml:space="preserve">Emissions factor for heat production at the District Heating system </t>
    </r>
    <r>
      <rPr>
        <sz val="11"/>
        <rFont val="TimesNewRoman"/>
        <family val="0"/>
      </rPr>
      <t xml:space="preserve">in the baseline scenario </t>
    </r>
  </si>
  <si>
    <t>(tCO2/GJ)</t>
  </si>
  <si>
    <r>
      <t xml:space="preserve">Emissions factor for heat at Vostochnaya sitein the baseline scenario </t>
    </r>
  </si>
  <si>
    <r>
      <t xml:space="preserve">Emissions factor for heat at Yakovlevskaya site in the baseline scenario </t>
    </r>
  </si>
  <si>
    <t xml:space="preserve"> (GJ)</t>
  </si>
  <si>
    <r>
      <t xml:space="preserve">Emissions factor for heat at Centralnaya site in the baseline scenario </t>
    </r>
  </si>
  <si>
    <r>
      <t>HEAT</t>
    </r>
    <r>
      <rPr>
        <i/>
        <vertAlign val="subscript"/>
        <sz val="11"/>
        <rFont val="Times New Roman"/>
        <family val="1"/>
      </rPr>
      <t>deliv,DH,y</t>
    </r>
  </si>
  <si>
    <r>
      <t>EF</t>
    </r>
    <r>
      <rPr>
        <i/>
        <vertAlign val="subscript"/>
        <sz val="11"/>
        <rFont val="Times New Roman"/>
        <family val="1"/>
      </rPr>
      <t>Heat,DH</t>
    </r>
  </si>
  <si>
    <r>
      <t>EF</t>
    </r>
    <r>
      <rPr>
        <i/>
        <vertAlign val="subscript"/>
        <sz val="11"/>
        <rFont val="Times New Roman"/>
        <family val="1"/>
      </rPr>
      <t>Heat,centr</t>
    </r>
  </si>
  <si>
    <r>
      <t>EF</t>
    </r>
    <r>
      <rPr>
        <i/>
        <vertAlign val="subscript"/>
        <sz val="11"/>
        <rFont val="Times New Roman"/>
        <family val="1"/>
      </rPr>
      <t>Heat,yak</t>
    </r>
  </si>
  <si>
    <r>
      <t>EF</t>
    </r>
    <r>
      <rPr>
        <i/>
        <vertAlign val="subscript"/>
        <sz val="11"/>
        <rFont val="Times New Roman"/>
        <family val="1"/>
      </rPr>
      <t>Heat,vost</t>
    </r>
  </si>
  <si>
    <r>
      <t>HEAT</t>
    </r>
    <r>
      <rPr>
        <i/>
        <vertAlign val="subscript"/>
        <sz val="11"/>
        <rFont val="Times New Roman"/>
        <family val="1"/>
      </rPr>
      <t>cons , vost,y</t>
    </r>
  </si>
  <si>
    <r>
      <t>HEAT</t>
    </r>
    <r>
      <rPr>
        <i/>
        <vertAlign val="subscript"/>
        <sz val="11"/>
        <rFont val="Times New Roman"/>
        <family val="1"/>
      </rPr>
      <t>cons ,yak,y</t>
    </r>
  </si>
  <si>
    <r>
      <t>HEAT</t>
    </r>
    <r>
      <rPr>
        <i/>
        <vertAlign val="subscript"/>
        <sz val="11"/>
        <rFont val="Times New Roman"/>
        <family val="1"/>
      </rPr>
      <t>cons ,centr,y</t>
    </r>
  </si>
  <si>
    <r>
      <t xml:space="preserve">BE </t>
    </r>
    <r>
      <rPr>
        <i/>
        <vertAlign val="subscript"/>
        <sz val="11"/>
        <rFont val="Times New Roman"/>
        <family val="1"/>
      </rPr>
      <t>Use,Heat, y</t>
    </r>
  </si>
  <si>
    <t>tCO2,y</t>
  </si>
  <si>
    <r>
      <t>VFUEL</t>
    </r>
    <r>
      <rPr>
        <i/>
        <vertAlign val="subscript"/>
        <sz val="11"/>
        <rFont val="TimesNewRoman"/>
        <family val="0"/>
      </rPr>
      <t>y</t>
    </r>
  </si>
  <si>
    <r>
      <t>EF</t>
    </r>
    <r>
      <rPr>
        <i/>
        <vertAlign val="subscript"/>
        <sz val="11"/>
        <rFont val="TimesNewRoman"/>
        <family val="0"/>
      </rPr>
      <t>v</t>
    </r>
  </si>
  <si>
    <t xml:space="preserve">Vehicle fuel provided by the project activity </t>
  </si>
  <si>
    <r>
      <t xml:space="preserve">Emissions factor for vehicle operation </t>
    </r>
    <r>
      <rPr>
        <sz val="11"/>
        <rFont val="TimesNewRoman"/>
        <family val="0"/>
      </rPr>
      <t xml:space="preserve">replaced by the project activity </t>
    </r>
  </si>
  <si>
    <t>Vehicle engine efficiency</t>
  </si>
  <si>
    <t>Lower Heating Value</t>
  </si>
  <si>
    <t>Lower Heating Value of Metane</t>
  </si>
  <si>
    <t>tCO2 y</t>
  </si>
  <si>
    <r>
      <t>BE</t>
    </r>
    <r>
      <rPr>
        <vertAlign val="subscript"/>
        <sz val="11"/>
        <rFont val="TimesNewRoman"/>
        <family val="0"/>
      </rPr>
      <t>Use.Gas</t>
    </r>
  </si>
  <si>
    <r>
      <t>BE</t>
    </r>
    <r>
      <rPr>
        <vertAlign val="subscript"/>
        <sz val="11"/>
        <rFont val="TimesNewRoman"/>
        <family val="0"/>
      </rPr>
      <t>y</t>
    </r>
  </si>
  <si>
    <t>Emission factors heat</t>
  </si>
  <si>
    <t>Coal at Zasaydko</t>
  </si>
  <si>
    <t>GJ/tcoal</t>
  </si>
  <si>
    <t>G grade coal</t>
  </si>
  <si>
    <t>Mass content</t>
  </si>
  <si>
    <t>EFcoal</t>
  </si>
  <si>
    <t>tC/GJ</t>
  </si>
  <si>
    <t>EFco2,coal</t>
  </si>
  <si>
    <t>Natural gas</t>
  </si>
  <si>
    <t>EFco2,ng</t>
  </si>
  <si>
    <t>Fuel type central</t>
  </si>
  <si>
    <t>coal</t>
  </si>
  <si>
    <t>Boiler efficiency central</t>
  </si>
  <si>
    <t>EFheat, cent</t>
  </si>
  <si>
    <t>Fuel type yakovlev</t>
  </si>
  <si>
    <t>natural gas</t>
  </si>
  <si>
    <t>Boiler eff yakovlev</t>
  </si>
  <si>
    <t>EFheat, yakov</t>
  </si>
  <si>
    <t>Fuel type vostochnaya</t>
  </si>
  <si>
    <t>Boiler eff vostochnaya</t>
  </si>
  <si>
    <t>EFheat,vost</t>
  </si>
  <si>
    <t>Fuel type District Heating</t>
  </si>
  <si>
    <t>Boiler eff DH</t>
  </si>
  <si>
    <t>EFheat,DH</t>
  </si>
  <si>
    <t>Emission factor fuel</t>
  </si>
  <si>
    <t>Fuel type</t>
  </si>
  <si>
    <t>EFco2,diesel</t>
  </si>
  <si>
    <t>Car efficiency is unknown, but a high number has been taken to be conservative</t>
  </si>
  <si>
    <t>EFv</t>
  </si>
  <si>
    <t xml:space="preserve">The baseline emissions of the replacement of electricity by the project activity are given by two equations. </t>
  </si>
  <si>
    <t xml:space="preserve">When the amount of electricity generated in a year by the project activity is less than the total amount </t>
  </si>
  <si>
    <t>of electricity consumed by the mine, the baseline emissions are as follows:</t>
  </si>
  <si>
    <t>When the amount of electricity generated in a year by the project activity is more than the total amount</t>
  </si>
  <si>
    <t xml:space="preserve"> of electricity consumed by the mine (i.e. electricity will be supplied to the grid), the baseline emissions are as follows:</t>
  </si>
  <si>
    <r>
      <t>tCO</t>
    </r>
    <r>
      <rPr>
        <vertAlign val="subscript"/>
        <sz val="10"/>
        <rFont val="Times New Roman"/>
        <family val="1"/>
      </rPr>
      <t>2</t>
    </r>
  </si>
  <si>
    <r>
      <t>tCO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 MWh</t>
    </r>
  </si>
  <si>
    <t>Baseline emissions</t>
  </si>
  <si>
    <t>Baseline emission from production of electricity, heat and vehicle fuel</t>
  </si>
  <si>
    <t>Total baseline emissions</t>
  </si>
  <si>
    <t>Electricity, MWh</t>
  </si>
  <si>
    <t xml:space="preserve">Amount of CHP Units, pc </t>
  </si>
  <si>
    <t>Hours of work, h</t>
  </si>
  <si>
    <t xml:space="preserve">Amount of CHP Units,pc </t>
  </si>
  <si>
    <t>own electricity consumption CHP</t>
  </si>
  <si>
    <t>Project emissions</t>
  </si>
  <si>
    <t>Total project emissions</t>
  </si>
  <si>
    <t>No</t>
  </si>
  <si>
    <t>Activity</t>
  </si>
  <si>
    <t>Project</t>
  </si>
  <si>
    <t>Baseline</t>
  </si>
  <si>
    <t>Reduction</t>
  </si>
  <si>
    <t>Combustion of methane in CHP</t>
  </si>
  <si>
    <t>Replacement of electricity</t>
  </si>
  <si>
    <t>Replacement of heat</t>
  </si>
  <si>
    <t>Total reductions</t>
  </si>
  <si>
    <t>Emission reduction per activity</t>
  </si>
  <si>
    <t>Replacement of car fuel</t>
  </si>
  <si>
    <t>GJ/1000 m3</t>
  </si>
  <si>
    <t>CH4 (m3)</t>
  </si>
  <si>
    <t>CH4 (t)</t>
  </si>
  <si>
    <t>Baseline emissions from release of methane into the atmosphere</t>
  </si>
  <si>
    <t xml:space="preserve">Heat consumed at Vostochnaya site delivered by the project year y </t>
  </si>
  <si>
    <t xml:space="preserve">Heat consumed at Yakovlevskaya site delivered by the project year y </t>
  </si>
  <si>
    <t xml:space="preserve">Heat consumed at Centralnaya site delivered by the project year y </t>
  </si>
  <si>
    <t>GJ</t>
  </si>
  <si>
    <t>Heat Loads for Yakovlevskaya Site</t>
  </si>
  <si>
    <t>Heat Loads for Centralnaya Site</t>
  </si>
  <si>
    <t>Heat Loads for Vostochnaya Site</t>
  </si>
  <si>
    <t>DH</t>
  </si>
  <si>
    <t>Gcal</t>
  </si>
  <si>
    <t>Total 2006 - 2012</t>
  </si>
  <si>
    <t>Emission reductions</t>
  </si>
  <si>
    <t>[tCO2e/yr]</t>
  </si>
  <si>
    <t>[tCO2e]</t>
  </si>
  <si>
    <t>AGFC plant CH4 Consumption</t>
  </si>
  <si>
    <t>Input data</t>
  </si>
  <si>
    <t>Vostochnaya</t>
  </si>
  <si>
    <t>Yakovlevskay</t>
  </si>
  <si>
    <t>District Heating</t>
  </si>
  <si>
    <t>Unit</t>
  </si>
  <si>
    <t>Combustions of methane in CHP</t>
  </si>
  <si>
    <t>Avoided methane emissions</t>
  </si>
  <si>
    <t>Project emisisons</t>
  </si>
  <si>
    <t>Net electricity to grid by CHP</t>
  </si>
  <si>
    <t>Net electricity consumption delivery by CHP</t>
  </si>
  <si>
    <t>Net electricity generation by CHP</t>
  </si>
  <si>
    <t>Diesel emissions</t>
  </si>
  <si>
    <t>Uncombusted of methane in vehicles</t>
  </si>
  <si>
    <t>Combustion of methane in vehicles</t>
  </si>
  <si>
    <t>Title of the project: "Utilization of coal mine methane at the coal mine named after A.F. Zasyadko"</t>
  </si>
  <si>
    <t>Table 2</t>
  </si>
  <si>
    <t>Hours of operation of CHP unit</t>
  </si>
  <si>
    <t>Table7</t>
  </si>
  <si>
    <t>Hours of heat delivery</t>
  </si>
  <si>
    <t>Electricity production per year</t>
  </si>
  <si>
    <t>Heat production per year</t>
  </si>
  <si>
    <t>Uncombusted methane</t>
  </si>
  <si>
    <t>year2006</t>
  </si>
  <si>
    <t>Gcal/year</t>
  </si>
  <si>
    <t>Year 2004</t>
  </si>
  <si>
    <t>Year 2005</t>
  </si>
  <si>
    <t xml:space="preserve"> 0.5 heat demand  </t>
  </si>
  <si>
    <t>Of the total fossil fuel vehicle consumpiotn at Zasyadko 50% was diesel and 50% gasoline</t>
  </si>
  <si>
    <t>EFco2,mix</t>
  </si>
  <si>
    <t>Length of the crediting period before 1 January 2008</t>
  </si>
  <si>
    <r>
      <t>Estimate of annual emission reductions in 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equ.</t>
    </r>
  </si>
  <si>
    <t>Total estimated emission reductions over the period before 1 January 2008 (tonnes of CO2 equ.)</t>
  </si>
  <si>
    <t>Length of the crediting period within 2008-2012</t>
  </si>
  <si>
    <t>Total estimated emission reductions over the crediting period (tonnes of CO2 equ.) within 2008 - 2012</t>
  </si>
  <si>
    <t xml:space="preserve">Annual average over  estimated emission reductions over the crediting period within 2008-2012 (tonnes of CO2 equ.) </t>
  </si>
  <si>
    <t>EFco2,gasoline</t>
  </si>
  <si>
    <t>includes boilers at greenhouse and garage</t>
  </si>
  <si>
    <t>Emission factors boilers</t>
  </si>
  <si>
    <t>Efficiency of DH is currenlty unknown, but will be monitored. To be conservative a high number has been taken</t>
  </si>
  <si>
    <t>To be conservative 100% NG consumption has been assumed but actual fuel type will be measured</t>
  </si>
  <si>
    <t>Fixed ex-ante</t>
  </si>
  <si>
    <t>Monitored</t>
  </si>
  <si>
    <t>Total 2004-2012</t>
  </si>
  <si>
    <t>IPCC 2006 value</t>
  </si>
  <si>
    <t>1. CMM combustions in CHPs at:</t>
  </si>
  <si>
    <t>2. Electricity</t>
  </si>
  <si>
    <t>3. Heat supply by CHP to:</t>
  </si>
  <si>
    <t>4. CMM consumption AFGCP at:</t>
  </si>
  <si>
    <t>2. Electricity production</t>
  </si>
  <si>
    <t>3. Heat supply by CHP</t>
  </si>
  <si>
    <t>4. Methane supply to AFGCP</t>
  </si>
  <si>
    <t>Fuel gas</t>
  </si>
  <si>
    <t>Ignition gas</t>
  </si>
  <si>
    <t>CH4 ignition gas m3</t>
  </si>
  <si>
    <t>CH4 fuel gas m3</t>
  </si>
  <si>
    <t>Ignition gas consumption</t>
  </si>
  <si>
    <t>Fuel gas consumption</t>
  </si>
  <si>
    <t>CH4 fuel gas, m3</t>
  </si>
  <si>
    <t>CH4 ignition gas ,m3</t>
  </si>
  <si>
    <t>Utilization of VPS as fuel gas</t>
  </si>
  <si>
    <t>CH$ iginition gas, m3</t>
  </si>
  <si>
    <t>Opening new face M3</t>
  </si>
  <si>
    <t>Reopening L1</t>
  </si>
  <si>
    <t>2008</t>
  </si>
  <si>
    <t>2009</t>
  </si>
  <si>
    <t>2010</t>
  </si>
  <si>
    <t>2011</t>
  </si>
  <si>
    <t>2012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</si>
  <si>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</si>
  <si>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</si>
  <si>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</si>
  <si>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</si>
  <si>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</si>
  <si>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</si>
  <si>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</si>
  <si>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</si>
  <si>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</si>
  <si>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</si>
  <si>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</si>
  <si>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</si>
  <si>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Mike</t>
  </si>
  <si>
    <t>Boris</t>
  </si>
  <si>
    <t>m3/mnth</t>
  </si>
  <si>
    <t>Consumption fuel gas</t>
  </si>
  <si>
    <t>0. Degasification forecast</t>
  </si>
  <si>
    <t>Extracted CMM from VPS</t>
  </si>
  <si>
    <t>At Vostochnaya CHP</t>
  </si>
  <si>
    <t>At Yakovlevskaya CHP</t>
  </si>
  <si>
    <t>Current situation (Jan 2008)</t>
  </si>
  <si>
    <t>Development of mine</t>
  </si>
  <si>
    <t>Date</t>
  </si>
  <si>
    <t>Closing existing face M3</t>
  </si>
  <si>
    <t>Forecasted gas extraction for fuel gas CHP stations 2008-2012</t>
  </si>
  <si>
    <r>
      <t>·</t>
    </r>
    <r>
      <rPr>
        <sz val="7"/>
        <color indexed="18"/>
        <rFont val="Times New Roman"/>
        <family val="1"/>
      </rPr>
      <t xml:space="preserve">         </t>
    </r>
    <r>
      <rPr>
        <sz val="10"/>
        <color indexed="18"/>
        <rFont val="Arial"/>
        <family val="2"/>
      </rPr>
      <t>In sheet “Total section A.4.3” only show the figures for the 2008-2012 years</t>
    </r>
  </si>
  <si>
    <t>Total 2008 - 2012</t>
  </si>
  <si>
    <t>Total 2004 - 2007</t>
  </si>
  <si>
    <t>208-2012</t>
  </si>
  <si>
    <t>2008-2012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</si>
</sst>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00000000"/>
    <numFmt numFmtId="187" formatCode="#,##0.000"/>
    <numFmt numFmtId="188" formatCode="0.00000"/>
    <numFmt numFmtId="189" formatCode="0.0"/>
    <numFmt numFmtId="190" formatCode="_-* #,##0.000_-;_-* #,##0.000\-;_-* &quot;-&quot;??_-;_-@_-"/>
    <numFmt numFmtId="191" formatCode="_-* #,##0.0000_-;_-* #,##0.0000\-;_-* &quot;-&quot;??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&quot;р.&quot;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"/>
    <numFmt numFmtId="202" formatCode="[$-809]d\ mmmm\ yyyy"/>
    <numFmt numFmtId="203" formatCode="[$-F800]dddd\,\ mmmm\ dd\,\ yyyy"/>
    <numFmt numFmtId="204" formatCode="dd/mm/yyyy;@"/>
    <numFmt numFmtId="205" formatCode="dd/mm/yy;@"/>
  </numFmts>
  <fonts count="44">
    <font>
      <sz val="10"/>
      <name val="Times New Roman"/>
      <family val="0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NewRoman"/>
      <family val="0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name val="TimesNewRoman"/>
      <family val="0"/>
    </font>
    <font>
      <vertAlign val="subscript"/>
      <sz val="11"/>
      <name val="TimesNewRoman"/>
      <family val="0"/>
    </font>
    <font>
      <i/>
      <sz val="10"/>
      <name val="Times New Roman"/>
      <family val="1"/>
    </font>
    <font>
      <sz val="12"/>
      <color indexed="8"/>
      <name val="TimesNewRoman"/>
      <family val="0"/>
    </font>
    <font>
      <sz val="10"/>
      <color indexed="8"/>
      <name val="Times New Roman"/>
      <family val="1"/>
    </font>
    <font>
      <i/>
      <sz val="11"/>
      <name val="TimesNewRoman"/>
      <family val="0"/>
    </font>
    <font>
      <i/>
      <vertAlign val="subscript"/>
      <sz val="11"/>
      <name val="TimesNewRoman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Symbol"/>
      <family val="1"/>
    </font>
    <font>
      <sz val="7"/>
      <color indexed="18"/>
      <name val="Times New Roman"/>
      <family val="1"/>
    </font>
    <font>
      <sz val="10"/>
      <color indexed="18"/>
      <name val="Arial"/>
      <family val="2"/>
    </font>
    <font>
      <b/>
      <sz val="8"/>
      <name val="Times New Roman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2" borderId="5" xfId="0" applyNumberFormat="1" applyFill="1" applyBorder="1" applyAlignment="1">
      <alignment/>
    </xf>
    <xf numFmtId="0" fontId="4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right"/>
    </xf>
    <xf numFmtId="2" fontId="0" fillId="0" borderId="8" xfId="0" applyNumberFormat="1" applyBorder="1" applyAlignment="1">
      <alignment/>
    </xf>
    <xf numFmtId="0" fontId="4" fillId="0" borderId="3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/>
    </xf>
    <xf numFmtId="0" fontId="4" fillId="0" borderId="2" xfId="0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2" borderId="8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 horizontal="center"/>
    </xf>
    <xf numFmtId="4" fontId="4" fillId="0" borderId="0" xfId="0" applyNumberFormat="1" applyFont="1" applyAlignment="1">
      <alignment/>
    </xf>
    <xf numFmtId="4" fontId="0" fillId="0" borderId="5" xfId="0" applyNumberForma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5" fillId="2" borderId="17" xfId="0" applyFont="1" applyFill="1" applyBorder="1" applyAlignment="1">
      <alignment/>
    </xf>
    <xf numFmtId="0" fontId="16" fillId="0" borderId="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4" xfId="0" applyFont="1" applyBorder="1" applyAlignment="1">
      <alignment/>
    </xf>
    <xf numFmtId="1" fontId="0" fillId="0" borderId="8" xfId="0" applyNumberFormat="1" applyBorder="1" applyAlignment="1">
      <alignment horizontal="right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justify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 horizontal="left" vertical="justify" wrapText="1"/>
    </xf>
    <xf numFmtId="1" fontId="0" fillId="0" borderId="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4" xfId="0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4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9" fontId="0" fillId="3" borderId="21" xfId="0" applyNumberFormat="1" applyFill="1" applyBorder="1" applyAlignment="1">
      <alignment/>
    </xf>
    <xf numFmtId="180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22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justify" vertical="top" wrapText="1"/>
    </xf>
    <xf numFmtId="0" fontId="23" fillId="0" borderId="0" xfId="0" applyFont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5" fillId="0" borderId="1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32" xfId="0" applyBorder="1" applyAlignment="1">
      <alignment/>
    </xf>
    <xf numFmtId="180" fontId="0" fillId="0" borderId="28" xfId="0" applyNumberForma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3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80" fontId="0" fillId="0" borderId="8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0" fontId="0" fillId="0" borderId="8" xfId="0" applyBorder="1" applyAlignment="1">
      <alignment horizontal="center"/>
    </xf>
    <xf numFmtId="0" fontId="33" fillId="0" borderId="0" xfId="19" applyFont="1">
      <alignment/>
      <protection/>
    </xf>
    <xf numFmtId="0" fontId="31" fillId="0" borderId="0" xfId="19">
      <alignment/>
      <protection/>
    </xf>
    <xf numFmtId="185" fontId="31" fillId="0" borderId="0" xfId="19" applyNumberFormat="1">
      <alignment/>
      <protection/>
    </xf>
    <xf numFmtId="189" fontId="31" fillId="0" borderId="0" xfId="19" applyNumberFormat="1">
      <alignment/>
      <protection/>
    </xf>
    <xf numFmtId="0" fontId="31" fillId="0" borderId="0" xfId="19" applyFont="1">
      <alignment/>
      <protection/>
    </xf>
    <xf numFmtId="0" fontId="34" fillId="0" borderId="0" xfId="19" applyFont="1">
      <alignment/>
      <protection/>
    </xf>
    <xf numFmtId="180" fontId="31" fillId="0" borderId="0" xfId="19" applyNumberFormat="1">
      <alignment/>
      <protection/>
    </xf>
    <xf numFmtId="180" fontId="34" fillId="0" borderId="0" xfId="19" applyNumberFormat="1" applyFont="1">
      <alignment/>
      <protection/>
    </xf>
    <xf numFmtId="9" fontId="31" fillId="0" borderId="0" xfId="22" applyFill="1" applyAlignment="1">
      <alignment/>
    </xf>
    <xf numFmtId="190" fontId="31" fillId="0" borderId="0" xfId="25" applyNumberFormat="1" applyAlignment="1">
      <alignment/>
    </xf>
    <xf numFmtId="3" fontId="0" fillId="4" borderId="5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2" borderId="20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4" fillId="2" borderId="38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5" borderId="38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0" fontId="0" fillId="4" borderId="0" xfId="0" applyFill="1" applyAlignment="1">
      <alignment/>
    </xf>
    <xf numFmtId="3" fontId="0" fillId="2" borderId="28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" xfId="0" applyNumberFormat="1" applyFill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5" xfId="0" applyNumberFormat="1" applyFont="1" applyBorder="1" applyAlignment="1" quotePrefix="1">
      <alignment horizontal="right"/>
    </xf>
    <xf numFmtId="3" fontId="0" fillId="0" borderId="8" xfId="0" applyNumberFormat="1" applyFont="1" applyFill="1" applyBorder="1" applyAlignment="1">
      <alignment/>
    </xf>
    <xf numFmtId="3" fontId="0" fillId="2" borderId="43" xfId="0" applyNumberFormat="1" applyFill="1" applyBorder="1" applyAlignment="1">
      <alignment/>
    </xf>
    <xf numFmtId="3" fontId="15" fillId="2" borderId="44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45" xfId="0" applyNumberFormat="1" applyFill="1" applyBorder="1" applyAlignment="1">
      <alignment/>
    </xf>
    <xf numFmtId="3" fontId="0" fillId="2" borderId="46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0" fontId="31" fillId="0" borderId="0" xfId="19" applyFill="1">
      <alignment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3" fontId="0" fillId="0" borderId="8" xfId="0" applyNumberFormat="1" applyFill="1" applyBorder="1" applyAlignment="1">
      <alignment horizontal="right"/>
    </xf>
    <xf numFmtId="0" fontId="0" fillId="0" borderId="33" xfId="0" applyBorder="1" applyAlignment="1">
      <alignment horizontal="lef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3" fontId="0" fillId="2" borderId="45" xfId="0" applyNumberFormat="1" applyFill="1" applyBorder="1" applyAlignment="1">
      <alignment/>
    </xf>
    <xf numFmtId="3" fontId="0" fillId="2" borderId="42" xfId="0" applyNumberFormat="1" applyFill="1" applyBorder="1" applyAlignment="1">
      <alignment/>
    </xf>
    <xf numFmtId="0" fontId="31" fillId="0" borderId="0" xfId="19" applyFont="1">
      <alignment/>
      <protection/>
    </xf>
    <xf numFmtId="0" fontId="0" fillId="0" borderId="49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3" xfId="0" applyBorder="1" applyAlignment="1">
      <alignment horizontal="right"/>
    </xf>
    <xf numFmtId="3" fontId="0" fillId="2" borderId="43" xfId="0" applyNumberFormat="1" applyFill="1" applyBorder="1" applyAlignment="1">
      <alignment horizontal="right"/>
    </xf>
    <xf numFmtId="1" fontId="0" fillId="2" borderId="43" xfId="0" applyNumberFormat="1" applyFill="1" applyBorder="1" applyAlignment="1">
      <alignment/>
    </xf>
    <xf numFmtId="0" fontId="0" fillId="2" borderId="43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3" fontId="0" fillId="2" borderId="23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38" fillId="0" borderId="5" xfId="20" applyNumberFormat="1" applyFont="1" applyFill="1" applyBorder="1" applyAlignment="1">
      <alignment horizontal="right" vertical="center" wrapText="1"/>
      <protection/>
    </xf>
    <xf numFmtId="3" fontId="39" fillId="0" borderId="5" xfId="20" applyNumberFormat="1" applyFont="1" applyBorder="1" applyAlignment="1">
      <alignment horizontal="right" vertical="center" wrapText="1"/>
      <protection/>
    </xf>
    <xf numFmtId="3" fontId="0" fillId="7" borderId="5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180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3" xfId="0" applyBorder="1" applyAlignment="1">
      <alignment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" fontId="0" fillId="0" borderId="5" xfId="0" applyNumberFormat="1" applyBorder="1" applyAlignment="1">
      <alignment/>
    </xf>
    <xf numFmtId="3" fontId="0" fillId="2" borderId="0" xfId="0" applyNumberFormat="1" applyFill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2" borderId="35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3" fontId="0" fillId="0" borderId="12" xfId="0" applyNumberFormat="1" applyBorder="1" applyAlignment="1">
      <alignment/>
    </xf>
    <xf numFmtId="0" fontId="0" fillId="7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8" borderId="0" xfId="0" applyNumberFormat="1" applyFill="1" applyAlignment="1">
      <alignment/>
    </xf>
    <xf numFmtId="180" fontId="0" fillId="0" borderId="6" xfId="0" applyNumberFormat="1" applyBorder="1" applyAlignment="1">
      <alignment horizontal="left"/>
    </xf>
    <xf numFmtId="180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left"/>
    </xf>
    <xf numFmtId="1" fontId="0" fillId="0" borderId="20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/>
    </xf>
    <xf numFmtId="10" fontId="31" fillId="0" borderId="0" xfId="22" applyNumberFormat="1" applyFill="1" applyAlignment="1">
      <alignment/>
    </xf>
    <xf numFmtId="0" fontId="0" fillId="0" borderId="53" xfId="0" applyBorder="1" applyAlignment="1">
      <alignment/>
    </xf>
    <xf numFmtId="0" fontId="0" fillId="9" borderId="5" xfId="0" applyFont="1" applyFill="1" applyBorder="1" applyAlignment="1">
      <alignment horizontal="center" wrapText="1"/>
    </xf>
    <xf numFmtId="0" fontId="0" fillId="9" borderId="5" xfId="0" applyFont="1" applyFill="1" applyBorder="1" applyAlignment="1">
      <alignment vertical="top" wrapText="1"/>
    </xf>
    <xf numFmtId="3" fontId="0" fillId="9" borderId="5" xfId="0" applyNumberFormat="1" applyFont="1" applyFill="1" applyBorder="1" applyAlignment="1">
      <alignment horizontal="center" wrapText="1"/>
    </xf>
    <xf numFmtId="3" fontId="0" fillId="9" borderId="5" xfId="0" applyNumberFormat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9" fontId="0" fillId="0" borderId="0" xfId="22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8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203" fontId="31" fillId="0" borderId="0" xfId="15" applyNumberFormat="1">
      <alignment/>
      <protection/>
    </xf>
    <xf numFmtId="0" fontId="31" fillId="0" borderId="0" xfId="15">
      <alignment/>
      <protection/>
    </xf>
    <xf numFmtId="203" fontId="31" fillId="0" borderId="0" xfId="15" applyNumberFormat="1" applyFont="1">
      <alignment/>
      <protection/>
    </xf>
    <xf numFmtId="203" fontId="31" fillId="0" borderId="0" xfId="15" applyNumberFormat="1" applyFont="1" quotePrefix="1">
      <alignment/>
      <protection/>
    </xf>
    <xf numFmtId="0" fontId="31" fillId="0" borderId="0" xfId="15" applyFont="1">
      <alignment/>
      <protection/>
    </xf>
    <xf numFmtId="0" fontId="31" fillId="0" borderId="0" xfId="15" applyFont="1" quotePrefix="1">
      <alignment/>
      <protection/>
    </xf>
    <xf numFmtId="3" fontId="31" fillId="0" borderId="0" xfId="15" applyNumberFormat="1">
      <alignment/>
      <protection/>
    </xf>
    <xf numFmtId="204" fontId="31" fillId="0" borderId="0" xfId="15" applyNumberFormat="1">
      <alignment/>
      <protection/>
    </xf>
    <xf numFmtId="0" fontId="33" fillId="0" borderId="0" xfId="15" applyFont="1">
      <alignment/>
      <protection/>
    </xf>
    <xf numFmtId="3" fontId="0" fillId="0" borderId="0" xfId="22" applyNumberFormat="1" applyAlignment="1">
      <alignment/>
    </xf>
    <xf numFmtId="3" fontId="0" fillId="0" borderId="0" xfId="22" applyNumberFormat="1" applyFill="1" applyAlignment="1">
      <alignment/>
    </xf>
    <xf numFmtId="203" fontId="33" fillId="0" borderId="0" xfId="15" applyNumberFormat="1" applyFont="1">
      <alignment/>
      <protection/>
    </xf>
    <xf numFmtId="0" fontId="41" fillId="0" borderId="0" xfId="0" applyFont="1" applyAlignment="1">
      <alignment horizontal="left" indent="2"/>
    </xf>
    <xf numFmtId="0" fontId="40" fillId="0" borderId="0" xfId="0" applyFont="1" applyAlignment="1">
      <alignment horizontal="left" indent="2"/>
    </xf>
    <xf numFmtId="3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3" fontId="0" fillId="2" borderId="58" xfId="0" applyNumberFormat="1" applyFill="1" applyBorder="1" applyAlignment="1">
      <alignment/>
    </xf>
    <xf numFmtId="3" fontId="0" fillId="0" borderId="5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2" borderId="59" xfId="0" applyNumberFormat="1" applyFill="1" applyBorder="1" applyAlignment="1">
      <alignment/>
    </xf>
    <xf numFmtId="0" fontId="0" fillId="0" borderId="60" xfId="0" applyBorder="1" applyAlignment="1">
      <alignment/>
    </xf>
    <xf numFmtId="3" fontId="0" fillId="0" borderId="58" xfId="0" applyNumberFormat="1" applyFill="1" applyBorder="1" applyAlignment="1">
      <alignment/>
    </xf>
    <xf numFmtId="0" fontId="0" fillId="0" borderId="36" xfId="0" applyBorder="1" applyAlignment="1">
      <alignment horizontal="right"/>
    </xf>
    <xf numFmtId="3" fontId="0" fillId="2" borderId="40" xfId="0" applyNumberFormat="1" applyFill="1" applyBorder="1" applyAlignment="1">
      <alignment/>
    </xf>
    <xf numFmtId="180" fontId="0" fillId="0" borderId="19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 horizontal="right"/>
    </xf>
    <xf numFmtId="3" fontId="0" fillId="5" borderId="40" xfId="0" applyNumberFormat="1" applyFill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6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7" borderId="63" xfId="0" applyFont="1" applyFill="1" applyBorder="1" applyAlignment="1">
      <alignment vertical="center"/>
    </xf>
    <xf numFmtId="0" fontId="5" fillId="7" borderId="39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10" borderId="14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/>
    </xf>
    <xf numFmtId="3" fontId="6" fillId="11" borderId="55" xfId="0" applyNumberFormat="1" applyFont="1" applyFill="1" applyBorder="1" applyAlignment="1">
      <alignment horizontal="center" vertical="center"/>
    </xf>
    <xf numFmtId="3" fontId="6" fillId="11" borderId="65" xfId="0" applyNumberFormat="1" applyFont="1" applyFill="1" applyBorder="1" applyAlignment="1">
      <alignment horizontal="center" vertical="center"/>
    </xf>
    <xf numFmtId="3" fontId="6" fillId="11" borderId="66" xfId="0" applyNumberFormat="1" applyFont="1" applyFill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11" borderId="0" xfId="0" applyNumberFormat="1" applyFont="1" applyFill="1" applyBorder="1" applyAlignment="1">
      <alignment horizontal="right" vertical="center"/>
    </xf>
    <xf numFmtId="0" fontId="5" fillId="10" borderId="63" xfId="0" applyFont="1" applyFill="1" applyBorder="1" applyAlignment="1">
      <alignment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7" borderId="63" xfId="0" applyFont="1" applyFill="1" applyBorder="1" applyAlignment="1">
      <alignment vertical="center"/>
    </xf>
    <xf numFmtId="0" fontId="5" fillId="7" borderId="47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11" borderId="10" xfId="0" applyNumberFormat="1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center" vertical="center"/>
    </xf>
    <xf numFmtId="3" fontId="5" fillId="11" borderId="2" xfId="0" applyNumberFormat="1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3" fontId="6" fillId="11" borderId="12" xfId="0" applyNumberFormat="1" applyFont="1" applyFill="1" applyBorder="1" applyAlignment="1">
      <alignment horizontal="center" vertical="center"/>
    </xf>
    <xf numFmtId="3" fontId="6" fillId="11" borderId="23" xfId="0" applyNumberFormat="1" applyFont="1" applyFill="1" applyBorder="1" applyAlignment="1">
      <alignment horizontal="center" vertical="center"/>
    </xf>
    <xf numFmtId="3" fontId="6" fillId="11" borderId="15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/>
    </xf>
    <xf numFmtId="0" fontId="6" fillId="7" borderId="62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3" fontId="6" fillId="11" borderId="68" xfId="0" applyNumberFormat="1" applyFont="1" applyFill="1" applyBorder="1" applyAlignment="1">
      <alignment horizontal="center" vertical="center"/>
    </xf>
    <xf numFmtId="3" fontId="6" fillId="11" borderId="39" xfId="0" applyNumberFormat="1" applyFont="1" applyFill="1" applyBorder="1" applyAlignment="1">
      <alignment horizontal="center" vertical="center"/>
    </xf>
    <xf numFmtId="3" fontId="6" fillId="11" borderId="69" xfId="0" applyNumberFormat="1" applyFont="1" applyFill="1" applyBorder="1" applyAlignment="1">
      <alignment horizontal="center" vertical="center"/>
    </xf>
  </cellXfs>
  <cellStyles count="12">
    <cellStyle name="Normal" xfId="0"/>
    <cellStyle name="Normal_Methane emissions" xfId="15"/>
    <cellStyle name="Hyperlink" xfId="16"/>
    <cellStyle name="Currency" xfId="17"/>
    <cellStyle name="Currency [0]" xfId="18"/>
    <cellStyle name="Обычный_Emission factors Zasyadko" xfId="19"/>
    <cellStyle name="Обычный_Object" xfId="20"/>
    <cellStyle name="Followed Hyperlink" xfId="21"/>
    <cellStyle name="Percent" xfId="22"/>
    <cellStyle name="Comma" xfId="23"/>
    <cellStyle name="Comma [0]" xfId="24"/>
    <cellStyle name="Финансовый_Emission factors Zasyadko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0.wmf" /><Relationship Id="rId13" Type="http://schemas.openxmlformats.org/officeDocument/2006/relationships/image" Target="../media/image9.wmf" /><Relationship Id="rId14" Type="http://schemas.openxmlformats.org/officeDocument/2006/relationships/image" Target="../media/image11.wmf" /><Relationship Id="rId15" Type="http://schemas.openxmlformats.org/officeDocument/2006/relationships/image" Target="../media/image5.wmf" /><Relationship Id="rId16" Type="http://schemas.openxmlformats.org/officeDocument/2006/relationships/image" Target="../media/image12.wmf" /><Relationship Id="rId17" Type="http://schemas.openxmlformats.org/officeDocument/2006/relationships/image" Target="../media/image13.wmf" /><Relationship Id="rId18" Type="http://schemas.openxmlformats.org/officeDocument/2006/relationships/image" Target="../media/image14.wmf" /><Relationship Id="rId19" Type="http://schemas.openxmlformats.org/officeDocument/2006/relationships/image" Target="../media/image13.wmf" /><Relationship Id="rId20" Type="http://schemas.openxmlformats.org/officeDocument/2006/relationships/image" Target="../media/image14.wmf" /><Relationship Id="rId21" Type="http://schemas.openxmlformats.org/officeDocument/2006/relationships/image" Target="../media/image12.wmf" /><Relationship Id="rId22" Type="http://schemas.openxmlformats.org/officeDocument/2006/relationships/image" Target="../media/image12.wmf" /><Relationship Id="rId23" Type="http://schemas.openxmlformats.org/officeDocument/2006/relationships/image" Target="../media/image9.wmf" /><Relationship Id="rId24" Type="http://schemas.openxmlformats.org/officeDocument/2006/relationships/image" Target="../media/image15.wmf" /><Relationship Id="rId25" Type="http://schemas.openxmlformats.org/officeDocument/2006/relationships/image" Target="../media/image11.wmf" /><Relationship Id="rId26" Type="http://schemas.openxmlformats.org/officeDocument/2006/relationships/image" Target="../media/image14.wmf" /><Relationship Id="rId27" Type="http://schemas.openxmlformats.org/officeDocument/2006/relationships/image" Target="../media/image10.wmf" /><Relationship Id="rId28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17.wmf" /><Relationship Id="rId3" Type="http://schemas.openxmlformats.org/officeDocument/2006/relationships/image" Target="../media/image18.wmf" /><Relationship Id="rId4" Type="http://schemas.openxmlformats.org/officeDocument/2006/relationships/image" Target="../media/image19.wmf" /><Relationship Id="rId5" Type="http://schemas.openxmlformats.org/officeDocument/2006/relationships/image" Target="../media/image20.wmf" /><Relationship Id="rId6" Type="http://schemas.openxmlformats.org/officeDocument/2006/relationships/image" Target="../media/image21.wmf" /><Relationship Id="rId7" Type="http://schemas.openxmlformats.org/officeDocument/2006/relationships/image" Target="../media/image22.wmf" /><Relationship Id="rId8" Type="http://schemas.openxmlformats.org/officeDocument/2006/relationships/image" Target="../media/image23.wmf" /><Relationship Id="rId9" Type="http://schemas.openxmlformats.org/officeDocument/2006/relationships/image" Target="../media/image24.wmf" /><Relationship Id="rId10" Type="http://schemas.openxmlformats.org/officeDocument/2006/relationships/image" Target="../media/image25.wmf" /><Relationship Id="rId11" Type="http://schemas.openxmlformats.org/officeDocument/2006/relationships/image" Target="../media/image26.wmf" /><Relationship Id="rId12" Type="http://schemas.openxmlformats.org/officeDocument/2006/relationships/image" Target="../media/image22.wmf" /><Relationship Id="rId13" Type="http://schemas.openxmlformats.org/officeDocument/2006/relationships/image" Target="../media/image23.wmf" /><Relationship Id="rId14" Type="http://schemas.openxmlformats.org/officeDocument/2006/relationships/image" Target="../media/image25.wmf" /><Relationship Id="rId15" Type="http://schemas.openxmlformats.org/officeDocument/2006/relationships/image" Target="../media/image24.wmf" /><Relationship Id="rId16" Type="http://schemas.openxmlformats.org/officeDocument/2006/relationships/image" Target="../media/image26.wmf" /><Relationship Id="rId17" Type="http://schemas.openxmlformats.org/officeDocument/2006/relationships/image" Target="../media/image28.wmf" /><Relationship Id="rId18" Type="http://schemas.openxmlformats.org/officeDocument/2006/relationships/image" Target="../media/image29.wmf" /><Relationship Id="rId19" Type="http://schemas.openxmlformats.org/officeDocument/2006/relationships/image" Target="../media/image22.wmf" /><Relationship Id="rId20" Type="http://schemas.openxmlformats.org/officeDocument/2006/relationships/image" Target="../media/image16.wmf" /><Relationship Id="rId21" Type="http://schemas.openxmlformats.org/officeDocument/2006/relationships/image" Target="../media/image2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oleObject" Target="../embeddings/oleObject_6_17.bin" /><Relationship Id="rId19" Type="http://schemas.openxmlformats.org/officeDocument/2006/relationships/oleObject" Target="../embeddings/oleObject_6_18.bin" /><Relationship Id="rId20" Type="http://schemas.openxmlformats.org/officeDocument/2006/relationships/oleObject" Target="../embeddings/oleObject_6_19.bin" /><Relationship Id="rId21" Type="http://schemas.openxmlformats.org/officeDocument/2006/relationships/oleObject" Target="../embeddings/oleObject_6_20.bin" /><Relationship Id="rId22" Type="http://schemas.openxmlformats.org/officeDocument/2006/relationships/oleObject" Target="../embeddings/oleObject_6_21.bin" /><Relationship Id="rId23" Type="http://schemas.openxmlformats.org/officeDocument/2006/relationships/oleObject" Target="../embeddings/oleObject_6_22.bin" /><Relationship Id="rId24" Type="http://schemas.openxmlformats.org/officeDocument/2006/relationships/oleObject" Target="../embeddings/oleObject_6_23.bin" /><Relationship Id="rId25" Type="http://schemas.openxmlformats.org/officeDocument/2006/relationships/oleObject" Target="../embeddings/oleObject_6_24.bin" /><Relationship Id="rId26" Type="http://schemas.openxmlformats.org/officeDocument/2006/relationships/oleObject" Target="../embeddings/oleObject_6_25.bin" /><Relationship Id="rId27" Type="http://schemas.openxmlformats.org/officeDocument/2006/relationships/oleObject" Target="../embeddings/oleObject_6_26.bin" /><Relationship Id="rId28" Type="http://schemas.openxmlformats.org/officeDocument/2006/relationships/oleObject" Target="../embeddings/oleObject_6_27.bin" /><Relationship Id="rId29" Type="http://schemas.openxmlformats.org/officeDocument/2006/relationships/vmlDrawing" Target="../drawings/vmlDrawing4.vml" /><Relationship Id="rId30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oleObject" Target="../embeddings/oleObject_7_1.bin" /><Relationship Id="rId4" Type="http://schemas.openxmlformats.org/officeDocument/2006/relationships/oleObject" Target="../embeddings/oleObject_7_2.bin" /><Relationship Id="rId5" Type="http://schemas.openxmlformats.org/officeDocument/2006/relationships/oleObject" Target="../embeddings/oleObject_7_3.bin" /><Relationship Id="rId6" Type="http://schemas.openxmlformats.org/officeDocument/2006/relationships/oleObject" Target="../embeddings/oleObject_7_4.bin" /><Relationship Id="rId7" Type="http://schemas.openxmlformats.org/officeDocument/2006/relationships/oleObject" Target="../embeddings/oleObject_7_5.bin" /><Relationship Id="rId8" Type="http://schemas.openxmlformats.org/officeDocument/2006/relationships/oleObject" Target="../embeddings/oleObject_7_6.bin" /><Relationship Id="rId9" Type="http://schemas.openxmlformats.org/officeDocument/2006/relationships/oleObject" Target="../embeddings/oleObject_7_7.bin" /><Relationship Id="rId10" Type="http://schemas.openxmlformats.org/officeDocument/2006/relationships/oleObject" Target="../embeddings/oleObject_7_8.bin" /><Relationship Id="rId11" Type="http://schemas.openxmlformats.org/officeDocument/2006/relationships/oleObject" Target="../embeddings/oleObject_7_9.bin" /><Relationship Id="rId12" Type="http://schemas.openxmlformats.org/officeDocument/2006/relationships/oleObject" Target="../embeddings/oleObject_7_10.bin" /><Relationship Id="rId13" Type="http://schemas.openxmlformats.org/officeDocument/2006/relationships/oleObject" Target="../embeddings/oleObject_7_11.bin" /><Relationship Id="rId14" Type="http://schemas.openxmlformats.org/officeDocument/2006/relationships/oleObject" Target="../embeddings/oleObject_7_12.bin" /><Relationship Id="rId15" Type="http://schemas.openxmlformats.org/officeDocument/2006/relationships/oleObject" Target="../embeddings/oleObject_7_13.bin" /><Relationship Id="rId16" Type="http://schemas.openxmlformats.org/officeDocument/2006/relationships/oleObject" Target="../embeddings/oleObject_7_14.bin" /><Relationship Id="rId17" Type="http://schemas.openxmlformats.org/officeDocument/2006/relationships/oleObject" Target="../embeddings/oleObject_7_15.bin" /><Relationship Id="rId18" Type="http://schemas.openxmlformats.org/officeDocument/2006/relationships/oleObject" Target="../embeddings/oleObject_7_16.bin" /><Relationship Id="rId19" Type="http://schemas.openxmlformats.org/officeDocument/2006/relationships/oleObject" Target="../embeddings/oleObject_7_17.bin" /><Relationship Id="rId20" Type="http://schemas.openxmlformats.org/officeDocument/2006/relationships/oleObject" Target="../embeddings/oleObject_7_18.bin" /><Relationship Id="rId21" Type="http://schemas.openxmlformats.org/officeDocument/2006/relationships/oleObject" Target="../embeddings/oleObject_7_19.bin" /><Relationship Id="rId22" Type="http://schemas.openxmlformats.org/officeDocument/2006/relationships/oleObject" Target="../embeddings/oleObject_7_20.bin" /><Relationship Id="rId23" Type="http://schemas.openxmlformats.org/officeDocument/2006/relationships/vmlDrawing" Target="../drawings/vmlDrawing5.vml" /><Relationship Id="rId2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pane ySplit="3" topLeftCell="BM61" activePane="bottomLeft" state="frozen"/>
      <selection pane="topLeft" activeCell="A1" sqref="A1"/>
      <selection pane="bottomLeft" activeCell="N82" sqref="N82"/>
    </sheetView>
  </sheetViews>
  <sheetFormatPr defaultColWidth="9.33203125" defaultRowHeight="12.75"/>
  <cols>
    <col min="1" max="1" width="41.16015625" style="0" customWidth="1"/>
    <col min="2" max="2" width="7.5" style="0" customWidth="1"/>
    <col min="3" max="11" width="10.83203125" style="0" customWidth="1"/>
    <col min="12" max="12" width="12.83203125" style="0" customWidth="1"/>
    <col min="13" max="13" width="17.33203125" style="0" customWidth="1"/>
    <col min="14" max="14" width="17.33203125" style="64" customWidth="1"/>
    <col min="15" max="18" width="17.33203125" style="0" customWidth="1"/>
    <col min="19" max="19" width="17.83203125" style="0" customWidth="1"/>
    <col min="20" max="20" width="23.5" style="0" customWidth="1"/>
    <col min="21" max="21" width="15.5" style="0" customWidth="1"/>
  </cols>
  <sheetData>
    <row r="1" spans="1:4" ht="18.75">
      <c r="A1" s="55" t="s">
        <v>241</v>
      </c>
      <c r="B1" s="55"/>
      <c r="C1" s="55"/>
      <c r="D1" s="55"/>
    </row>
    <row r="2" spans="1:4" ht="12.75">
      <c r="A2" s="7"/>
      <c r="B2" s="7"/>
      <c r="C2" s="7"/>
      <c r="D2" s="7"/>
    </row>
    <row r="3" spans="1:12" ht="12.75">
      <c r="A3" t="s">
        <v>89</v>
      </c>
      <c r="B3" t="s">
        <v>231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 s="150" t="s">
        <v>35</v>
      </c>
    </row>
    <row r="4" ht="12.75">
      <c r="L4" s="150"/>
    </row>
    <row r="5" ht="18.75">
      <c r="A5" s="216" t="s">
        <v>227</v>
      </c>
    </row>
    <row r="6" spans="1:12" ht="12.75">
      <c r="A6" s="215" t="s">
        <v>311</v>
      </c>
      <c r="L6" s="13"/>
    </row>
    <row r="7" spans="1:12" ht="12.75">
      <c r="A7" t="s">
        <v>312</v>
      </c>
      <c r="B7" t="s">
        <v>9</v>
      </c>
      <c r="G7" s="13">
        <f>'CMM supply'!O13</f>
        <v>41700000</v>
      </c>
      <c r="H7" s="13">
        <f>'CMM supply'!O14</f>
        <v>54000000</v>
      </c>
      <c r="I7" s="13">
        <f>'CMM supply'!O15</f>
        <v>54000000</v>
      </c>
      <c r="J7" s="13">
        <f>'CMM supply'!O16</f>
        <v>87000000</v>
      </c>
      <c r="K7" s="13">
        <f>'CMM supply'!O17</f>
        <v>120000000</v>
      </c>
      <c r="L7" s="13"/>
    </row>
    <row r="8" spans="1:12" ht="12.75">
      <c r="A8" s="21" t="s">
        <v>286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</row>
    <row r="9" spans="1:12" ht="12.75">
      <c r="A9" s="247" t="s">
        <v>313</v>
      </c>
      <c r="B9" t="s">
        <v>9</v>
      </c>
      <c r="C9" s="314"/>
      <c r="D9" s="314"/>
      <c r="E9" s="314"/>
      <c r="F9" s="314"/>
      <c r="G9" s="314">
        <f>'CMM consumption'!E20</f>
        <v>28592640</v>
      </c>
      <c r="H9" s="314">
        <f>'CMM consumption'!B28</f>
        <v>47654400</v>
      </c>
      <c r="I9" s="314">
        <f>'CMM consumption'!E28</f>
        <v>28592640</v>
      </c>
      <c r="J9" s="314">
        <f>'CMM consumption'!B36</f>
        <v>47654400</v>
      </c>
      <c r="K9" s="314">
        <f>'CMM consumption'!E36</f>
        <v>52419840</v>
      </c>
      <c r="L9" s="314">
        <f>SUM(C9:K9)</f>
        <v>204913920</v>
      </c>
    </row>
    <row r="10" spans="1:12" ht="12.75">
      <c r="A10" s="247" t="s">
        <v>314</v>
      </c>
      <c r="B10" t="s">
        <v>9</v>
      </c>
      <c r="C10" s="314"/>
      <c r="D10" s="314"/>
      <c r="E10" s="314"/>
      <c r="F10" s="314"/>
      <c r="G10" s="315">
        <f>'CMM consumption'!B56</f>
        <v>0</v>
      </c>
      <c r="H10" s="315">
        <f>'CMM consumption'!E56</f>
        <v>0</v>
      </c>
      <c r="I10" s="315">
        <f>'CMM consumption'!B64</f>
        <v>19061760</v>
      </c>
      <c r="J10" s="315">
        <f>'CMM consumption'!E64</f>
        <v>28592640</v>
      </c>
      <c r="K10" s="314">
        <f>'CMM consumption'!B72</f>
        <v>47654400</v>
      </c>
      <c r="L10" s="314">
        <f>SUM(C10:K10)</f>
        <v>95308800</v>
      </c>
    </row>
    <row r="11" spans="1:12" ht="12.75">
      <c r="A11" s="247" t="s">
        <v>35</v>
      </c>
      <c r="B11" t="s">
        <v>9</v>
      </c>
      <c r="C11" s="314"/>
      <c r="D11" s="314"/>
      <c r="E11" s="315"/>
      <c r="F11" s="315"/>
      <c r="G11" s="315">
        <f>G9+G10</f>
        <v>28592640</v>
      </c>
      <c r="H11" s="315">
        <f>H9+H10</f>
        <v>47654400</v>
      </c>
      <c r="I11" s="315">
        <f>I9+I10</f>
        <v>47654400</v>
      </c>
      <c r="J11" s="315">
        <f>J9+J10</f>
        <v>76247040</v>
      </c>
      <c r="K11" s="315">
        <f>K9+K10</f>
        <v>100074240</v>
      </c>
      <c r="L11" s="314">
        <f>SUM(C11:K11)</f>
        <v>300222720</v>
      </c>
    </row>
    <row r="12" spans="1:11" ht="12.75">
      <c r="A12" s="247" t="s">
        <v>286</v>
      </c>
      <c r="B12" t="s">
        <v>6</v>
      </c>
      <c r="G12" s="289">
        <f>G11/G7</f>
        <v>0.6856748201438849</v>
      </c>
      <c r="H12" s="289">
        <f>H11/H7</f>
        <v>0.8824888888888889</v>
      </c>
      <c r="I12" s="289">
        <f>I11/I7</f>
        <v>0.8824888888888889</v>
      </c>
      <c r="J12" s="289">
        <f>J11/J7</f>
        <v>0.8764027586206896</v>
      </c>
      <c r="K12" s="289">
        <f>K11/K7</f>
        <v>0.833952</v>
      </c>
    </row>
    <row r="13" ht="12.75">
      <c r="L13" s="13"/>
    </row>
    <row r="14" spans="1:12" ht="12.75">
      <c r="A14" s="215" t="s">
        <v>271</v>
      </c>
      <c r="L14" s="13"/>
    </row>
    <row r="15" spans="1:12" ht="12.75">
      <c r="A15" s="246" t="s">
        <v>228</v>
      </c>
      <c r="L15" s="13"/>
    </row>
    <row r="16" spans="1:12" ht="12.75">
      <c r="A16" s="247" t="s">
        <v>279</v>
      </c>
      <c r="B16" t="s">
        <v>9</v>
      </c>
      <c r="C16" s="28">
        <v>0</v>
      </c>
      <c r="D16" s="28">
        <v>0</v>
      </c>
      <c r="E16" s="13">
        <f>'CMM consumption'!N10</f>
        <v>0</v>
      </c>
      <c r="F16" s="13">
        <f>'CMM consumption'!B19</f>
        <v>2083767</v>
      </c>
      <c r="G16" s="13">
        <f>'CMM consumption'!E19</f>
        <v>1713600</v>
      </c>
      <c r="H16" s="13">
        <f>'CMM consumption'!B27</f>
        <v>2856000</v>
      </c>
      <c r="I16" s="13">
        <f>'CMM consumption'!E27</f>
        <v>1713600</v>
      </c>
      <c r="J16" s="13">
        <f>'CMM consumption'!B35</f>
        <v>2856000</v>
      </c>
      <c r="K16" s="13">
        <f>'CMM consumption'!E35</f>
        <v>3141600</v>
      </c>
      <c r="L16" s="13">
        <f aca="true" t="shared" si="0" ref="L16:L24">SUM(E16:K16)</f>
        <v>14364567</v>
      </c>
    </row>
    <row r="17" spans="1:12" ht="12.75">
      <c r="A17" s="247" t="s">
        <v>278</v>
      </c>
      <c r="B17" t="s">
        <v>9</v>
      </c>
      <c r="C17" s="28">
        <v>0</v>
      </c>
      <c r="D17" s="28">
        <v>0</v>
      </c>
      <c r="E17" s="13">
        <f>'CMM consumption'!N11</f>
        <v>24621551</v>
      </c>
      <c r="F17" s="13">
        <f>'CMM consumption'!B20</f>
        <v>55575405</v>
      </c>
      <c r="G17" s="13">
        <f>'CMM consumption'!E20</f>
        <v>28592640</v>
      </c>
      <c r="H17" s="13">
        <f>'CMM consumption'!B28</f>
        <v>47654400</v>
      </c>
      <c r="I17" s="13">
        <f>'CMM consumption'!E28</f>
        <v>28592640</v>
      </c>
      <c r="J17" s="13">
        <f>'CMM consumption'!B36</f>
        <v>47654400</v>
      </c>
      <c r="K17" s="13">
        <f>'CMM consumption'!E36</f>
        <v>52419840</v>
      </c>
      <c r="L17" s="13">
        <f t="shared" si="0"/>
        <v>285110876</v>
      </c>
    </row>
    <row r="18" spans="1:12" ht="12.75">
      <c r="A18" s="247" t="s">
        <v>35</v>
      </c>
      <c r="B18" t="s">
        <v>74</v>
      </c>
      <c r="C18" s="13">
        <v>0</v>
      </c>
      <c r="D18" s="13">
        <v>0</v>
      </c>
      <c r="E18" s="13">
        <f>'CMM consumption'!N12</f>
        <v>17646.2656017</v>
      </c>
      <c r="F18" s="13">
        <f>'CMM consumption'!B21</f>
        <v>41324.3285724</v>
      </c>
      <c r="G18" s="13">
        <f>'CMM consumption'!E21</f>
        <v>21720.482208</v>
      </c>
      <c r="H18" s="13">
        <f>'CMM consumption'!B29</f>
        <v>36200.80368</v>
      </c>
      <c r="I18" s="13">
        <f>'CMM consumption'!E29</f>
        <v>21720.482208</v>
      </c>
      <c r="J18" s="13">
        <f>'CMM consumption'!B37</f>
        <v>36200.80368</v>
      </c>
      <c r="K18" s="13">
        <f>'CMM consumption'!E37</f>
        <v>39820.884048</v>
      </c>
      <c r="L18" s="13">
        <f t="shared" si="0"/>
        <v>214634.0499981</v>
      </c>
    </row>
    <row r="19" spans="1:12" ht="12.75">
      <c r="A19" s="21" t="s">
        <v>72</v>
      </c>
      <c r="C19" s="28"/>
      <c r="D19" s="28"/>
      <c r="E19" s="13"/>
      <c r="F19" s="13"/>
      <c r="G19" s="299"/>
      <c r="H19" s="299"/>
      <c r="I19" s="299"/>
      <c r="J19" s="299"/>
      <c r="K19" s="13"/>
      <c r="L19" s="13"/>
    </row>
    <row r="20" spans="1:12" ht="12.75">
      <c r="A20" s="247" t="s">
        <v>279</v>
      </c>
      <c r="B20" t="s">
        <v>9</v>
      </c>
      <c r="C20" s="36">
        <v>0</v>
      </c>
      <c r="D20" s="36">
        <v>0</v>
      </c>
      <c r="E20" s="13">
        <v>0</v>
      </c>
      <c r="F20" s="13">
        <f>'CMM consumption'!N45</f>
        <v>0</v>
      </c>
      <c r="G20" s="299">
        <f>'CMM consumption'!B55</f>
        <v>0</v>
      </c>
      <c r="H20" s="299">
        <f>'CMM consumption'!E55</f>
        <v>0</v>
      </c>
      <c r="I20" s="299">
        <f>'CMM consumption'!B63</f>
        <v>1142400</v>
      </c>
      <c r="J20" s="299">
        <f>'CMM consumption'!E63</f>
        <v>1713600</v>
      </c>
      <c r="K20" s="13">
        <f>'CMM consumption'!B71</f>
        <v>2856000</v>
      </c>
      <c r="L20" s="13">
        <f>SUM(E20:K20)</f>
        <v>5712000</v>
      </c>
    </row>
    <row r="21" spans="1:12" ht="12.75">
      <c r="A21" s="247" t="s">
        <v>278</v>
      </c>
      <c r="B21" t="s">
        <v>9</v>
      </c>
      <c r="C21" s="36">
        <v>0</v>
      </c>
      <c r="D21" s="36">
        <v>0</v>
      </c>
      <c r="E21" s="13">
        <v>0</v>
      </c>
      <c r="F21" s="13">
        <f>'CMM consumption'!N46</f>
        <v>0</v>
      </c>
      <c r="G21" s="299">
        <f>'CMM consumption'!B56</f>
        <v>0</v>
      </c>
      <c r="H21" s="299">
        <f>'CMM consumption'!E56</f>
        <v>0</v>
      </c>
      <c r="I21" s="299">
        <f>'CMM consumption'!B64</f>
        <v>19061760</v>
      </c>
      <c r="J21" s="299">
        <f>'CMM consumption'!E64</f>
        <v>28592640</v>
      </c>
      <c r="K21" s="13">
        <f>'CMM consumption'!B72</f>
        <v>47654400</v>
      </c>
      <c r="L21" s="13">
        <f t="shared" si="0"/>
        <v>95308800</v>
      </c>
    </row>
    <row r="22" spans="1:12" ht="12.75">
      <c r="A22" s="247" t="s">
        <v>35</v>
      </c>
      <c r="B22" t="s">
        <v>74</v>
      </c>
      <c r="C22" s="36">
        <v>0</v>
      </c>
      <c r="D22" s="36">
        <v>0</v>
      </c>
      <c r="E22" s="13">
        <v>0</v>
      </c>
      <c r="F22" s="13">
        <f>'CMM consumption'!O47</f>
        <v>0</v>
      </c>
      <c r="G22" s="13">
        <f>'CMM consumption'!B57</f>
        <v>0</v>
      </c>
      <c r="H22" s="13">
        <f>'CMM consumption'!E57</f>
        <v>0</v>
      </c>
      <c r="I22" s="13">
        <f>'CMM consumption'!B65</f>
        <v>14480.321472000001</v>
      </c>
      <c r="J22" s="13">
        <f>'CMM consumption'!E65</f>
        <v>21720.482208</v>
      </c>
      <c r="K22" s="13">
        <f>'CMM consumption'!B73</f>
        <v>36200.80368</v>
      </c>
      <c r="L22" s="13">
        <f t="shared" si="0"/>
        <v>72401.60736</v>
      </c>
    </row>
    <row r="23" spans="1:12" ht="12.75">
      <c r="A23" s="21" t="s">
        <v>35</v>
      </c>
      <c r="B23" t="s">
        <v>9</v>
      </c>
      <c r="C23" s="13">
        <f aca="true" t="shared" si="1" ref="C23:J23">C16+C17+C19+C20</f>
        <v>0</v>
      </c>
      <c r="D23" s="13">
        <f t="shared" si="1"/>
        <v>0</v>
      </c>
      <c r="E23" s="13">
        <f t="shared" si="1"/>
        <v>24621551</v>
      </c>
      <c r="F23" s="13">
        <f t="shared" si="1"/>
        <v>57659172</v>
      </c>
      <c r="G23" s="13">
        <f t="shared" si="1"/>
        <v>30306240</v>
      </c>
      <c r="H23" s="13">
        <f t="shared" si="1"/>
        <v>50510400</v>
      </c>
      <c r="I23" s="13">
        <f t="shared" si="1"/>
        <v>31448640</v>
      </c>
      <c r="J23" s="13">
        <f t="shared" si="1"/>
        <v>52224000</v>
      </c>
      <c r="K23" s="13">
        <f>K16+K17+K19+K20</f>
        <v>58417440</v>
      </c>
      <c r="L23" s="13">
        <f t="shared" si="0"/>
        <v>305187443</v>
      </c>
    </row>
    <row r="24" spans="2:12" ht="12.75">
      <c r="B24" t="s">
        <v>74</v>
      </c>
      <c r="C24" s="13">
        <f aca="true" t="shared" si="2" ref="C24:K24">C18+C22</f>
        <v>0</v>
      </c>
      <c r="D24" s="13">
        <f t="shared" si="2"/>
        <v>0</v>
      </c>
      <c r="E24" s="13">
        <f t="shared" si="2"/>
        <v>17646.2656017</v>
      </c>
      <c r="F24" s="13">
        <f t="shared" si="2"/>
        <v>41324.3285724</v>
      </c>
      <c r="G24" s="13">
        <f t="shared" si="2"/>
        <v>21720.482208</v>
      </c>
      <c r="H24" s="13">
        <f t="shared" si="2"/>
        <v>36200.80368</v>
      </c>
      <c r="I24" s="13">
        <f t="shared" si="2"/>
        <v>36200.803680000005</v>
      </c>
      <c r="J24" s="13">
        <f t="shared" si="2"/>
        <v>57921.285888</v>
      </c>
      <c r="K24" s="13">
        <f t="shared" si="2"/>
        <v>76021.68772799999</v>
      </c>
      <c r="L24" s="13">
        <f t="shared" si="0"/>
        <v>287035.6573581</v>
      </c>
    </row>
    <row r="25" spans="3:12" ht="12.75">
      <c r="C25" s="28"/>
      <c r="D25" s="28"/>
      <c r="L25" s="13"/>
    </row>
    <row r="26" spans="1:12" ht="12.75">
      <c r="A26" s="215" t="s">
        <v>272</v>
      </c>
      <c r="C26" s="28"/>
      <c r="D26" s="28"/>
      <c r="L26" s="13"/>
    </row>
    <row r="27" spans="1:12" ht="12.75">
      <c r="A27" t="s">
        <v>237</v>
      </c>
      <c r="B27" t="s">
        <v>120</v>
      </c>
      <c r="C27" s="28">
        <v>0</v>
      </c>
      <c r="D27" s="28">
        <v>0</v>
      </c>
      <c r="E27" s="13">
        <f>'Baseline emissions'!C57</f>
        <v>90554</v>
      </c>
      <c r="F27" s="13">
        <f>'Baseline emissions'!C58</f>
        <v>193922</v>
      </c>
      <c r="G27" s="13">
        <f>'Baseline emissions'!C59</f>
        <v>117636.59999999999</v>
      </c>
      <c r="H27" s="13">
        <f>'Baseline emissions'!C60</f>
        <v>196061</v>
      </c>
      <c r="I27" s="13">
        <f>'Baseline emissions'!C61</f>
        <v>196061</v>
      </c>
      <c r="J27" s="13">
        <f>'Baseline emissions'!C62</f>
        <v>313697.6</v>
      </c>
      <c r="K27" s="13">
        <f>'Baseline emissions'!C63</f>
        <v>411728.1</v>
      </c>
      <c r="L27" s="13">
        <f>SUM(E27:K27)</f>
        <v>1519660.2999999998</v>
      </c>
    </row>
    <row r="28" spans="1:12" ht="12.75">
      <c r="A28" t="s">
        <v>236</v>
      </c>
      <c r="B28" t="s">
        <v>120</v>
      </c>
      <c r="C28" s="28">
        <v>0</v>
      </c>
      <c r="D28" s="28">
        <v>0</v>
      </c>
      <c r="E28" s="13">
        <f>'Baseline emissions'!C57</f>
        <v>90554</v>
      </c>
      <c r="F28" s="13">
        <f>'Baseline emissions'!C58</f>
        <v>193922</v>
      </c>
      <c r="G28" s="13">
        <f>'Baseline emissions'!D59</f>
        <v>379439.4</v>
      </c>
      <c r="H28" s="13">
        <f>'Baseline emissions'!D60</f>
        <v>379439.4</v>
      </c>
      <c r="I28" s="13">
        <f>'Baseline emissions'!D61</f>
        <v>379439.4</v>
      </c>
      <c r="J28" s="13">
        <f>'Baseline emissions'!D62</f>
        <v>379439.4</v>
      </c>
      <c r="K28" s="13">
        <f>'Baseline emissions'!D63</f>
        <v>379439.4</v>
      </c>
      <c r="L28" s="13">
        <f>SUM(E28:K28)</f>
        <v>2181673</v>
      </c>
    </row>
    <row r="29" spans="1:12" ht="12.75">
      <c r="A29" t="s">
        <v>235</v>
      </c>
      <c r="B29" t="s">
        <v>120</v>
      </c>
      <c r="C29" s="28">
        <v>0</v>
      </c>
      <c r="D29" s="28">
        <v>0</v>
      </c>
      <c r="E29" s="13">
        <f aca="true" t="shared" si="3" ref="E29:K29">E27-E28</f>
        <v>0</v>
      </c>
      <c r="F29" s="13">
        <f t="shared" si="3"/>
        <v>0</v>
      </c>
      <c r="G29" s="13">
        <v>0</v>
      </c>
      <c r="H29" s="13">
        <v>0</v>
      </c>
      <c r="I29" s="13">
        <v>0</v>
      </c>
      <c r="J29" s="13">
        <v>0</v>
      </c>
      <c r="K29" s="13">
        <f t="shared" si="3"/>
        <v>32288.699999999953</v>
      </c>
      <c r="L29" s="13">
        <f>SUM(E29:K29)</f>
        <v>32288.699999999953</v>
      </c>
    </row>
    <row r="30" spans="3:12" ht="12.75">
      <c r="C30" s="28"/>
      <c r="D30" s="28"/>
      <c r="L30" s="13"/>
    </row>
    <row r="31" spans="1:12" ht="12.75">
      <c r="A31" s="215" t="s">
        <v>273</v>
      </c>
      <c r="B31" s="246"/>
      <c r="C31" s="253"/>
      <c r="D31" s="253"/>
      <c r="L31" s="13"/>
    </row>
    <row r="32" spans="1:12" ht="12.75">
      <c r="A32" s="21" t="s">
        <v>228</v>
      </c>
      <c r="B32" s="248" t="s">
        <v>216</v>
      </c>
      <c r="C32" s="271">
        <v>0</v>
      </c>
      <c r="D32" s="271">
        <v>0</v>
      </c>
      <c r="E32" s="13">
        <f>'Baseline emissions'!E83</f>
        <v>34047</v>
      </c>
      <c r="F32" s="13">
        <f>'Baseline emissions'!E84</f>
        <v>139575</v>
      </c>
      <c r="G32" s="13">
        <f>'Baseline emissions'!E85</f>
        <v>93675.4632</v>
      </c>
      <c r="H32" s="13">
        <f>'Baseline emissions'!E86</f>
        <v>93675.4632</v>
      </c>
      <c r="I32" s="13">
        <f>'Baseline emissions'!E87</f>
        <v>93675.4632</v>
      </c>
      <c r="J32" s="13">
        <f>'Baseline emissions'!E88</f>
        <v>93675.4632</v>
      </c>
      <c r="K32" s="13">
        <f>'Baseline emissions'!E89</f>
        <v>93675.4632</v>
      </c>
      <c r="L32" s="13">
        <f>SUM(E32:K32)</f>
        <v>641999.316</v>
      </c>
    </row>
    <row r="33" spans="1:12" ht="12.75">
      <c r="A33" s="21"/>
      <c r="B33" s="248" t="s">
        <v>221</v>
      </c>
      <c r="C33" s="13">
        <f>C32/4.184</f>
        <v>0</v>
      </c>
      <c r="D33" s="13">
        <f>D32/4.184</f>
        <v>0</v>
      </c>
      <c r="E33" s="13">
        <f>E32/4.184</f>
        <v>8137.428298279158</v>
      </c>
      <c r="F33" s="13">
        <f aca="true" t="shared" si="4" ref="F33:L33">F32/4.184</f>
        <v>33359.22562141491</v>
      </c>
      <c r="G33" s="13">
        <f t="shared" si="4"/>
        <v>22388.973040152963</v>
      </c>
      <c r="H33" s="13">
        <f t="shared" si="4"/>
        <v>22388.973040152963</v>
      </c>
      <c r="I33" s="13">
        <f t="shared" si="4"/>
        <v>22388.973040152963</v>
      </c>
      <c r="J33" s="13">
        <f t="shared" si="4"/>
        <v>22388.973040152963</v>
      </c>
      <c r="K33" s="13">
        <f t="shared" si="4"/>
        <v>22388.973040152963</v>
      </c>
      <c r="L33" s="13">
        <f t="shared" si="4"/>
        <v>153441.5191204589</v>
      </c>
    </row>
    <row r="34" spans="1:12" ht="12.75">
      <c r="A34" s="21" t="s">
        <v>229</v>
      </c>
      <c r="B34" s="248" t="s">
        <v>216</v>
      </c>
      <c r="C34" s="269">
        <v>0</v>
      </c>
      <c r="D34" s="269">
        <v>0</v>
      </c>
      <c r="E34" s="13">
        <f>'Baseline emissions'!G83</f>
        <v>0</v>
      </c>
      <c r="F34" s="13">
        <f>'Baseline emissions'!G84</f>
        <v>0</v>
      </c>
      <c r="G34" s="13">
        <f>'Baseline emissions'!G85</f>
        <v>0</v>
      </c>
      <c r="H34" s="13">
        <f>'Baseline emissions'!G86</f>
        <v>82320.8616</v>
      </c>
      <c r="I34" s="13">
        <f>'Baseline emissions'!G87</f>
        <v>82320.8616</v>
      </c>
      <c r="J34" s="13">
        <f>'Baseline emissions'!G88</f>
        <v>82320.8616</v>
      </c>
      <c r="K34" s="13">
        <f>'Baseline emissions'!G89</f>
        <v>82320.8616</v>
      </c>
      <c r="L34" s="13">
        <f>SUM(E34:K34)</f>
        <v>329283.4464</v>
      </c>
    </row>
    <row r="35" spans="1:12" ht="12.75">
      <c r="A35" s="21"/>
      <c r="B35" s="248" t="s">
        <v>221</v>
      </c>
      <c r="C35" s="13">
        <f>C34/4.184</f>
        <v>0</v>
      </c>
      <c r="D35" s="13">
        <f>D34/4.184</f>
        <v>0</v>
      </c>
      <c r="E35" s="13">
        <f>E34/4.184</f>
        <v>0</v>
      </c>
      <c r="F35" s="13">
        <f aca="true" t="shared" si="5" ref="F35:L35">F34/4.184</f>
        <v>0</v>
      </c>
      <c r="G35" s="13">
        <f t="shared" si="5"/>
        <v>0</v>
      </c>
      <c r="H35" s="13">
        <f t="shared" si="5"/>
        <v>19675.15812619503</v>
      </c>
      <c r="I35" s="13">
        <f t="shared" si="5"/>
        <v>19675.15812619503</v>
      </c>
      <c r="J35" s="13">
        <f t="shared" si="5"/>
        <v>19675.15812619503</v>
      </c>
      <c r="K35" s="13">
        <f t="shared" si="5"/>
        <v>19675.15812619503</v>
      </c>
      <c r="L35" s="13">
        <f t="shared" si="5"/>
        <v>78700.63250478012</v>
      </c>
    </row>
    <row r="36" spans="1:12" ht="12.75">
      <c r="A36" s="21" t="s">
        <v>5</v>
      </c>
      <c r="B36" s="248" t="s">
        <v>216</v>
      </c>
      <c r="C36" s="269">
        <v>0</v>
      </c>
      <c r="D36" s="269">
        <v>0</v>
      </c>
      <c r="E36" s="13">
        <f>'Baseline emissions'!I83</f>
        <v>0</v>
      </c>
      <c r="F36" s="13">
        <f>'Baseline emissions'!I84</f>
        <v>0</v>
      </c>
      <c r="G36" s="13">
        <f>'Baseline emissions'!I85</f>
        <v>0</v>
      </c>
      <c r="H36" s="13">
        <f>'Baseline emissions'!I86</f>
        <v>294746.5332</v>
      </c>
      <c r="I36" s="13">
        <f>'Baseline emissions'!I87</f>
        <v>294746.5332</v>
      </c>
      <c r="J36" s="13">
        <f>'Baseline emissions'!I88</f>
        <v>294746.5332</v>
      </c>
      <c r="K36" s="13">
        <f>'Baseline emissions'!I89</f>
        <v>294746.5332</v>
      </c>
      <c r="L36" s="13">
        <f>SUM(E36:K36)</f>
        <v>1178986.1328</v>
      </c>
    </row>
    <row r="37" spans="1:12" ht="12.75">
      <c r="A37" s="21"/>
      <c r="B37" s="248" t="s">
        <v>221</v>
      </c>
      <c r="C37" s="13">
        <f>C36/4.184</f>
        <v>0</v>
      </c>
      <c r="D37" s="13">
        <f>D36/4.184</f>
        <v>0</v>
      </c>
      <c r="E37" s="13">
        <f>E36/4.184</f>
        <v>0</v>
      </c>
      <c r="F37" s="13">
        <f aca="true" t="shared" si="6" ref="F37:L37">F36/4.184</f>
        <v>0</v>
      </c>
      <c r="G37" s="13">
        <f t="shared" si="6"/>
        <v>0</v>
      </c>
      <c r="H37" s="13">
        <f t="shared" si="6"/>
        <v>70446.1121414914</v>
      </c>
      <c r="I37" s="13">
        <f t="shared" si="6"/>
        <v>70446.1121414914</v>
      </c>
      <c r="J37" s="13">
        <f t="shared" si="6"/>
        <v>70446.1121414914</v>
      </c>
      <c r="K37" s="13">
        <f t="shared" si="6"/>
        <v>70446.1121414914</v>
      </c>
      <c r="L37" s="13">
        <f t="shared" si="6"/>
        <v>281784.4485659656</v>
      </c>
    </row>
    <row r="38" spans="1:12" ht="12.75">
      <c r="A38" s="21" t="s">
        <v>230</v>
      </c>
      <c r="B38" s="248" t="s">
        <v>216</v>
      </c>
      <c r="C38" s="269">
        <v>0</v>
      </c>
      <c r="D38" s="269">
        <v>0</v>
      </c>
      <c r="E38" s="13">
        <f>'Baseline emissions'!C83</f>
        <v>0</v>
      </c>
      <c r="F38" s="13">
        <f>'Baseline emissions'!C84</f>
        <v>0</v>
      </c>
      <c r="G38" s="13">
        <f>'Baseline emissions'!C85</f>
        <v>0</v>
      </c>
      <c r="H38" s="13">
        <f>'Baseline emissions'!C86</f>
        <v>0</v>
      </c>
      <c r="I38" s="13">
        <f>'Baseline emissions'!C87</f>
        <v>681477.8997600001</v>
      </c>
      <c r="J38" s="13">
        <f>'Baseline emissions'!C88</f>
        <v>681477.8997600001</v>
      </c>
      <c r="K38" s="13">
        <f>'Baseline emissions'!C89</f>
        <v>681477.8997600001</v>
      </c>
      <c r="L38" s="13">
        <f>SUM(E38:K38)</f>
        <v>2044433.6992800003</v>
      </c>
    </row>
    <row r="39" spans="2:12" ht="12.75">
      <c r="B39" s="248" t="s">
        <v>221</v>
      </c>
      <c r="C39" s="13">
        <f>C38/4.184</f>
        <v>0</v>
      </c>
      <c r="D39" s="13">
        <f>D38/4.184</f>
        <v>0</v>
      </c>
      <c r="E39" s="13">
        <f>E38/4.184</f>
        <v>0</v>
      </c>
      <c r="F39" s="13">
        <f aca="true" t="shared" si="7" ref="F39:L39">F38/4.184</f>
        <v>0</v>
      </c>
      <c r="G39" s="13">
        <f t="shared" si="7"/>
        <v>0</v>
      </c>
      <c r="H39" s="13">
        <f t="shared" si="7"/>
        <v>0</v>
      </c>
      <c r="I39" s="13">
        <f t="shared" si="7"/>
        <v>162877.12709369024</v>
      </c>
      <c r="J39" s="13">
        <f t="shared" si="7"/>
        <v>162877.12709369024</v>
      </c>
      <c r="K39" s="13">
        <f t="shared" si="7"/>
        <v>162877.12709369024</v>
      </c>
      <c r="L39" s="13">
        <f t="shared" si="7"/>
        <v>488631.3812810708</v>
      </c>
    </row>
    <row r="40" spans="1:12" ht="12.75">
      <c r="A40" t="s">
        <v>35</v>
      </c>
      <c r="B40" s="248" t="s">
        <v>216</v>
      </c>
      <c r="C40" s="13">
        <f aca="true" t="shared" si="8" ref="C40:E41">C32+C34+C36+C38</f>
        <v>0</v>
      </c>
      <c r="D40" s="13">
        <f t="shared" si="8"/>
        <v>0</v>
      </c>
      <c r="E40" s="13">
        <f t="shared" si="8"/>
        <v>34047</v>
      </c>
      <c r="F40" s="13">
        <f aca="true" t="shared" si="9" ref="F40:L40">F32+F34+F36+F38</f>
        <v>139575</v>
      </c>
      <c r="G40" s="13">
        <f t="shared" si="9"/>
        <v>93675.4632</v>
      </c>
      <c r="H40" s="13">
        <f t="shared" si="9"/>
        <v>470742.858</v>
      </c>
      <c r="I40" s="13">
        <f t="shared" si="9"/>
        <v>1152220.75776</v>
      </c>
      <c r="J40" s="13">
        <f t="shared" si="9"/>
        <v>1152220.75776</v>
      </c>
      <c r="K40" s="13">
        <f t="shared" si="9"/>
        <v>1152220.75776</v>
      </c>
      <c r="L40" s="13">
        <f t="shared" si="9"/>
        <v>4194702.59448</v>
      </c>
    </row>
    <row r="41" spans="2:12" ht="12.75">
      <c r="B41" s="248" t="s">
        <v>221</v>
      </c>
      <c r="C41" s="13">
        <f t="shared" si="8"/>
        <v>0</v>
      </c>
      <c r="D41" s="13">
        <f t="shared" si="8"/>
        <v>0</v>
      </c>
      <c r="E41" s="13">
        <f t="shared" si="8"/>
        <v>8137.428298279158</v>
      </c>
      <c r="F41" s="13">
        <f aca="true" t="shared" si="10" ref="F41:L41">F33+F35+F37+F39</f>
        <v>33359.22562141491</v>
      </c>
      <c r="G41" s="13">
        <f t="shared" si="10"/>
        <v>22388.973040152963</v>
      </c>
      <c r="H41" s="13">
        <f t="shared" si="10"/>
        <v>112510.24330783938</v>
      </c>
      <c r="I41" s="13">
        <f t="shared" si="10"/>
        <v>275387.3704015296</v>
      </c>
      <c r="J41" s="13">
        <f t="shared" si="10"/>
        <v>275387.3704015296</v>
      </c>
      <c r="K41" s="13">
        <f t="shared" si="10"/>
        <v>275387.3704015296</v>
      </c>
      <c r="L41" s="13">
        <f t="shared" si="10"/>
        <v>1002557.9814722755</v>
      </c>
    </row>
    <row r="42" spans="2:12" ht="12.75">
      <c r="B42" s="248"/>
      <c r="C42" s="269"/>
      <c r="D42" s="269"/>
      <c r="L42" s="13"/>
    </row>
    <row r="43" spans="1:12" ht="12.75">
      <c r="A43" s="251" t="s">
        <v>274</v>
      </c>
      <c r="B43" s="248"/>
      <c r="C43" s="269"/>
      <c r="D43" s="269"/>
      <c r="L43" s="13"/>
    </row>
    <row r="44" spans="1:12" ht="12.75">
      <c r="A44" s="21" t="s">
        <v>5</v>
      </c>
      <c r="B44" s="248" t="s">
        <v>9</v>
      </c>
      <c r="C44" s="270">
        <f>'CMM consumption'!B83</f>
        <v>2220091</v>
      </c>
      <c r="D44" s="270">
        <f>'CMM consumption'!B84</f>
        <v>2194690</v>
      </c>
      <c r="E44" s="13">
        <f>'CMM consumption'!B85</f>
        <v>1591155</v>
      </c>
      <c r="F44" s="13">
        <f>'CMM consumption'!B86</f>
        <v>2004468</v>
      </c>
      <c r="G44" s="13">
        <f>'CMM consumption'!B87</f>
        <v>2774013</v>
      </c>
      <c r="H44" s="13">
        <f>'CMM consumption'!B88</f>
        <v>2774013</v>
      </c>
      <c r="I44" s="13">
        <f>'CMM consumption'!B89</f>
        <v>2774013</v>
      </c>
      <c r="J44" s="13">
        <f>'CMM consumption'!B90</f>
        <v>2774013</v>
      </c>
      <c r="K44" s="13">
        <f>'CMM consumption'!B91</f>
        <v>2774013</v>
      </c>
      <c r="L44" s="13">
        <f>SUM(C44:K44)</f>
        <v>21880469</v>
      </c>
    </row>
    <row r="45" spans="1:12" ht="12.75">
      <c r="A45" s="21"/>
      <c r="B45" s="248" t="s">
        <v>74</v>
      </c>
      <c r="C45" s="63">
        <f>'CMM consumption'!$C83</f>
        <v>1591.1392197</v>
      </c>
      <c r="D45" s="63">
        <f>'CMM consumption'!$C84</f>
        <v>1572.9343230000002</v>
      </c>
      <c r="E45" s="13">
        <f>'CMM consumption'!$C85</f>
        <v>1140.3807885</v>
      </c>
      <c r="F45" s="13">
        <f>'CMM consumption'!$C86</f>
        <v>1436.6022156</v>
      </c>
      <c r="G45" s="13">
        <f>'CMM consumption'!$C87</f>
        <v>1988.1351171</v>
      </c>
      <c r="H45" s="13">
        <f>'CMM consumption'!$C88</f>
        <v>1988.1351171</v>
      </c>
      <c r="I45" s="13">
        <f>'CMM consumption'!$C89</f>
        <v>1988.1351171</v>
      </c>
      <c r="J45" s="13">
        <f>'CMM consumption'!$C90</f>
        <v>1988.1351171</v>
      </c>
      <c r="K45" s="13">
        <f>'CMM consumption'!$C91</f>
        <v>1988.1351171</v>
      </c>
      <c r="L45" s="13">
        <f>SUM(C45:K45)</f>
        <v>15681.732132300001</v>
      </c>
    </row>
    <row r="46" spans="1:12" ht="12.75">
      <c r="A46" s="21" t="s">
        <v>72</v>
      </c>
      <c r="B46" s="248" t="s">
        <v>9</v>
      </c>
      <c r="C46" s="271">
        <v>0</v>
      </c>
      <c r="D46" s="271">
        <v>0</v>
      </c>
      <c r="E46">
        <f>'CMM consumption'!D85</f>
        <v>0</v>
      </c>
      <c r="F46" s="13">
        <f>'CMM consumption'!D86</f>
        <v>0</v>
      </c>
      <c r="G46" s="13">
        <f>'CMM consumption'!D87</f>
        <v>527472</v>
      </c>
      <c r="H46" s="13">
        <f>'CMM consumption'!D88</f>
        <v>1188000</v>
      </c>
      <c r="I46" s="13">
        <f>'CMM consumption'!D89</f>
        <v>1188000</v>
      </c>
      <c r="J46" s="13">
        <f>'CMM consumption'!D90</f>
        <v>1188000</v>
      </c>
      <c r="K46" s="13">
        <f>'CMM consumption'!D91</f>
        <v>1188000</v>
      </c>
      <c r="L46" s="13">
        <f>SUM(E46:K46)</f>
        <v>5279472</v>
      </c>
    </row>
    <row r="47" spans="1:12" ht="12.75">
      <c r="A47" s="247"/>
      <c r="B47" s="248" t="s">
        <v>74</v>
      </c>
      <c r="C47" s="28">
        <v>0</v>
      </c>
      <c r="D47" s="28">
        <v>0</v>
      </c>
      <c r="E47">
        <f>'CMM consumption'!$E85</f>
        <v>0</v>
      </c>
      <c r="F47" s="13">
        <f>'CMM consumption'!$E86</f>
        <v>0</v>
      </c>
      <c r="G47" s="13">
        <f>'CMM consumption'!$E87</f>
        <v>378.0391824</v>
      </c>
      <c r="H47" s="13">
        <f>'CMM consumption'!$E88</f>
        <v>851.4395999999999</v>
      </c>
      <c r="I47" s="13">
        <f>'CMM consumption'!$E89</f>
        <v>851.4395999999999</v>
      </c>
      <c r="J47" s="13">
        <f>'CMM consumption'!$E90</f>
        <v>851.4395999999999</v>
      </c>
      <c r="K47" s="13">
        <f>'CMM consumption'!$E91</f>
        <v>851.4395999999999</v>
      </c>
      <c r="L47" s="13">
        <f>SUM(E47:K47)</f>
        <v>3783.7975823999996</v>
      </c>
    </row>
    <row r="48" spans="1:12" ht="12.75">
      <c r="A48" s="21" t="s">
        <v>35</v>
      </c>
      <c r="B48" s="248" t="s">
        <v>9</v>
      </c>
      <c r="C48" s="57">
        <f aca="true" t="shared" si="11" ref="C48:E49">C44+C46</f>
        <v>2220091</v>
      </c>
      <c r="D48" s="57">
        <f t="shared" si="11"/>
        <v>2194690</v>
      </c>
      <c r="E48" s="13">
        <f t="shared" si="11"/>
        <v>1591155</v>
      </c>
      <c r="F48" s="13">
        <f aca="true" t="shared" si="12" ref="F48:K48">F44+F46</f>
        <v>2004468</v>
      </c>
      <c r="G48" s="299">
        <f t="shared" si="12"/>
        <v>3301485</v>
      </c>
      <c r="H48" s="299">
        <f t="shared" si="12"/>
        <v>3962013</v>
      </c>
      <c r="I48" s="299">
        <f t="shared" si="12"/>
        <v>3962013</v>
      </c>
      <c r="J48" s="13">
        <f t="shared" si="12"/>
        <v>3962013</v>
      </c>
      <c r="K48" s="13">
        <f t="shared" si="12"/>
        <v>3962013</v>
      </c>
      <c r="L48" s="13">
        <f>SUM(E48:K48)</f>
        <v>22745160</v>
      </c>
    </row>
    <row r="49" spans="1:12" ht="12.75">
      <c r="A49" s="247"/>
      <c r="B49" s="248" t="s">
        <v>74</v>
      </c>
      <c r="C49" s="57">
        <f t="shared" si="11"/>
        <v>1591.1392197</v>
      </c>
      <c r="D49" s="57">
        <f t="shared" si="11"/>
        <v>1572.9343230000002</v>
      </c>
      <c r="E49" s="13">
        <f t="shared" si="11"/>
        <v>1140.3807885</v>
      </c>
      <c r="F49" s="13">
        <f aca="true" t="shared" si="13" ref="F49:K49">F45+F47</f>
        <v>1436.6022156</v>
      </c>
      <c r="G49" s="13">
        <f t="shared" si="13"/>
        <v>2366.1742995</v>
      </c>
      <c r="H49" s="13">
        <f t="shared" si="13"/>
        <v>2839.5747171</v>
      </c>
      <c r="I49" s="13">
        <f t="shared" si="13"/>
        <v>2839.5747171</v>
      </c>
      <c r="J49" s="13">
        <f t="shared" si="13"/>
        <v>2839.5747171</v>
      </c>
      <c r="K49" s="13">
        <f t="shared" si="13"/>
        <v>2839.5747171</v>
      </c>
      <c r="L49" s="13">
        <f>SUM(C49:K49)</f>
        <v>19465.529714700002</v>
      </c>
    </row>
    <row r="50" spans="3:12" ht="12.75">
      <c r="C50" s="28"/>
      <c r="D50" s="28"/>
      <c r="L50" s="13"/>
    </row>
    <row r="51" spans="1:12" ht="18.75">
      <c r="A51" s="216" t="s">
        <v>223</v>
      </c>
      <c r="C51" s="28"/>
      <c r="D51" s="28"/>
      <c r="L51" s="13"/>
    </row>
    <row r="52" spans="1:12" ht="12.75">
      <c r="A52" s="215" t="s">
        <v>271</v>
      </c>
      <c r="C52" s="28"/>
      <c r="D52" s="28"/>
      <c r="L52" s="13"/>
    </row>
    <row r="53" spans="1:12" ht="12.75">
      <c r="A53" t="s">
        <v>188</v>
      </c>
      <c r="C53" s="28"/>
      <c r="D53" s="28"/>
      <c r="L53" s="13"/>
    </row>
    <row r="54" spans="1:12" ht="12.75">
      <c r="A54" s="247" t="s">
        <v>233</v>
      </c>
      <c r="B54" t="s">
        <v>109</v>
      </c>
      <c r="C54" s="13">
        <f>21*C24</f>
        <v>0</v>
      </c>
      <c r="D54" s="13">
        <f>21*D24</f>
        <v>0</v>
      </c>
      <c r="E54" s="13">
        <f>21*E24</f>
        <v>370571.5776357</v>
      </c>
      <c r="F54" s="13">
        <f aca="true" t="shared" si="14" ref="F54:K54">21*F24</f>
        <v>867810.9000204001</v>
      </c>
      <c r="G54" s="13">
        <f t="shared" si="14"/>
        <v>456130.12636800006</v>
      </c>
      <c r="H54" s="13">
        <f t="shared" si="14"/>
        <v>760216.8772799999</v>
      </c>
      <c r="I54" s="13">
        <f t="shared" si="14"/>
        <v>760216.8772800001</v>
      </c>
      <c r="J54" s="13">
        <f t="shared" si="14"/>
        <v>1216347.003648</v>
      </c>
      <c r="K54" s="13">
        <f t="shared" si="14"/>
        <v>1596455.4422879997</v>
      </c>
      <c r="L54" s="13">
        <f>SUM(E54:K54)</f>
        <v>6027748.8045201</v>
      </c>
    </row>
    <row r="55" spans="1:12" ht="12.75">
      <c r="A55" t="s">
        <v>196</v>
      </c>
      <c r="C55" s="28"/>
      <c r="D55" s="28"/>
      <c r="L55" s="13"/>
    </row>
    <row r="56" spans="1:12" ht="12.75">
      <c r="A56" s="247" t="s">
        <v>232</v>
      </c>
      <c r="B56" t="s">
        <v>109</v>
      </c>
      <c r="C56" s="13">
        <f>2.75*0.995*C24</f>
        <v>0</v>
      </c>
      <c r="D56" s="13">
        <f>2.75*0.995*D24</f>
        <v>0</v>
      </c>
      <c r="E56" s="13">
        <f>2.75*0.995*E24</f>
        <v>48284.59425265163</v>
      </c>
      <c r="F56" s="13">
        <f aca="true" t="shared" si="15" ref="F56:K56">2.75*0.995*F24</f>
        <v>113073.6940562295</v>
      </c>
      <c r="G56" s="13">
        <f t="shared" si="15"/>
        <v>59432.669441640006</v>
      </c>
      <c r="H56" s="13">
        <f t="shared" si="15"/>
        <v>99054.4490694</v>
      </c>
      <c r="I56" s="13">
        <f t="shared" si="15"/>
        <v>99054.44906940001</v>
      </c>
      <c r="J56" s="13">
        <f t="shared" si="15"/>
        <v>158487.11851104</v>
      </c>
      <c r="K56" s="13">
        <f t="shared" si="15"/>
        <v>208014.34304573998</v>
      </c>
      <c r="L56" s="13">
        <f>SUM(E56:K56)</f>
        <v>785401.317446101</v>
      </c>
    </row>
    <row r="57" spans="1:12" ht="12.75">
      <c r="A57" s="247" t="s">
        <v>248</v>
      </c>
      <c r="B57" t="s">
        <v>109</v>
      </c>
      <c r="C57" s="13">
        <f>0.005*21*C24</f>
        <v>0</v>
      </c>
      <c r="D57" s="13">
        <f>0.005*21*D24</f>
        <v>0</v>
      </c>
      <c r="E57" s="13">
        <f>0.005*21*E24</f>
        <v>1852.8578881785</v>
      </c>
      <c r="F57" s="13">
        <f aca="true" t="shared" si="16" ref="F57:K57">0.005*21*F24</f>
        <v>4339.054500102</v>
      </c>
      <c r="G57" s="13">
        <f t="shared" si="16"/>
        <v>2280.65063184</v>
      </c>
      <c r="H57" s="13">
        <f t="shared" si="16"/>
        <v>3801.0843863999994</v>
      </c>
      <c r="I57" s="13">
        <f t="shared" si="16"/>
        <v>3801.0843864000003</v>
      </c>
      <c r="J57" s="13">
        <f t="shared" si="16"/>
        <v>6081.73501824</v>
      </c>
      <c r="K57" s="13">
        <f t="shared" si="16"/>
        <v>7982.277211439999</v>
      </c>
      <c r="L57" s="13">
        <f>SUM(E57:K57)</f>
        <v>30138.7440226005</v>
      </c>
    </row>
    <row r="58" spans="1:12" ht="12.75">
      <c r="A58" s="21" t="s">
        <v>223</v>
      </c>
      <c r="B58" t="s">
        <v>109</v>
      </c>
      <c r="C58" s="13">
        <f>C54-C56-C57</f>
        <v>0</v>
      </c>
      <c r="D58" s="13">
        <f>D54-D56-D57</f>
        <v>0</v>
      </c>
      <c r="E58" s="13">
        <f>E54-E56-E57</f>
        <v>320434.1254948699</v>
      </c>
      <c r="F58" s="13">
        <f aca="true" t="shared" si="17" ref="F58:K58">F54-F56-F57</f>
        <v>750398.1514640686</v>
      </c>
      <c r="G58" s="13">
        <f t="shared" si="17"/>
        <v>394416.80629452004</v>
      </c>
      <c r="H58" s="13">
        <f t="shared" si="17"/>
        <v>657361.3438242</v>
      </c>
      <c r="I58" s="13">
        <f t="shared" si="17"/>
        <v>657361.3438242002</v>
      </c>
      <c r="J58" s="13">
        <f t="shared" si="17"/>
        <v>1051778.15011872</v>
      </c>
      <c r="K58" s="13">
        <f t="shared" si="17"/>
        <v>1380458.8220308197</v>
      </c>
      <c r="L58" s="13">
        <f>SUM(E58:K58)</f>
        <v>5212208.743051399</v>
      </c>
    </row>
    <row r="59" spans="3:12" ht="12.75">
      <c r="C59" s="28"/>
      <c r="D59" s="28"/>
      <c r="L59" s="13"/>
    </row>
    <row r="60" spans="1:12" ht="12.75">
      <c r="A60" s="215" t="s">
        <v>275</v>
      </c>
      <c r="C60" s="28"/>
      <c r="D60" s="28"/>
      <c r="L60" s="13"/>
    </row>
    <row r="61" spans="1:12" ht="12.75">
      <c r="A61" t="s">
        <v>188</v>
      </c>
      <c r="B61" t="s">
        <v>109</v>
      </c>
      <c r="C61" s="28">
        <v>0</v>
      </c>
      <c r="D61" s="28">
        <v>0</v>
      </c>
      <c r="E61" s="13">
        <f>'Baseline emissions'!B57</f>
        <v>81136.384</v>
      </c>
      <c r="F61" s="13">
        <f>'Baseline emissions'!B58</f>
        <v>173754.112</v>
      </c>
      <c r="G61" s="13">
        <f>'Baseline emissions'!B59</f>
        <v>105402.3936</v>
      </c>
      <c r="H61" s="13">
        <f>'Baseline emissions'!B60</f>
        <v>175670.656</v>
      </c>
      <c r="I61" s="13">
        <f>'Baseline emissions'!B61</f>
        <v>175670.656</v>
      </c>
      <c r="J61" s="13">
        <f>'Baseline emissions'!B62</f>
        <v>281073.04959999997</v>
      </c>
      <c r="K61" s="13">
        <f>'Baseline emissions'!B63</f>
        <v>366034.6833</v>
      </c>
      <c r="L61" s="13">
        <f>SUM(E61:K61)</f>
        <v>1358741.9344999997</v>
      </c>
    </row>
    <row r="62" spans="1:12" ht="12.75">
      <c r="A62" t="s">
        <v>234</v>
      </c>
      <c r="B62" t="s">
        <v>109</v>
      </c>
      <c r="C62" s="28">
        <v>0</v>
      </c>
      <c r="D62" s="28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13">
        <f>SUM(E62:K62)</f>
        <v>0</v>
      </c>
    </row>
    <row r="63" spans="1:12" ht="12.75">
      <c r="A63" t="s">
        <v>223</v>
      </c>
      <c r="B63" t="s">
        <v>109</v>
      </c>
      <c r="C63" s="13">
        <f>C61-0</f>
        <v>0</v>
      </c>
      <c r="D63" s="13">
        <f>D61-0</f>
        <v>0</v>
      </c>
      <c r="E63" s="13">
        <f>E61-0</f>
        <v>81136.384</v>
      </c>
      <c r="F63" s="13">
        <f aca="true" t="shared" si="18" ref="F63:K63">F61-0</f>
        <v>173754.112</v>
      </c>
      <c r="G63" s="13">
        <f t="shared" si="18"/>
        <v>105402.3936</v>
      </c>
      <c r="H63" s="13">
        <f t="shared" si="18"/>
        <v>175670.656</v>
      </c>
      <c r="I63" s="13">
        <f t="shared" si="18"/>
        <v>175670.656</v>
      </c>
      <c r="J63" s="13">
        <f t="shared" si="18"/>
        <v>281073.04959999997</v>
      </c>
      <c r="K63" s="13">
        <f t="shared" si="18"/>
        <v>366034.6833</v>
      </c>
      <c r="L63" s="13">
        <f>SUM(E63:K63)</f>
        <v>1358741.9344999997</v>
      </c>
    </row>
    <row r="64" spans="3:12" ht="12.75">
      <c r="C64" s="28"/>
      <c r="D64" s="28"/>
      <c r="L64" s="13"/>
    </row>
    <row r="65" spans="1:12" ht="12.75">
      <c r="A65" s="215" t="s">
        <v>276</v>
      </c>
      <c r="C65" s="28"/>
      <c r="D65" s="28"/>
      <c r="L65" s="13"/>
    </row>
    <row r="66" spans="1:12" ht="12.75">
      <c r="A66" t="s">
        <v>188</v>
      </c>
      <c r="B66" t="s">
        <v>109</v>
      </c>
      <c r="C66" s="28">
        <v>0</v>
      </c>
      <c r="D66" s="28">
        <v>0</v>
      </c>
      <c r="E66" s="13">
        <f>'Baseline emissions'!$B83</f>
        <v>2144.9610000000002</v>
      </c>
      <c r="F66" s="13">
        <f>'Baseline emissions'!$B84</f>
        <v>8793.225</v>
      </c>
      <c r="G66" s="13">
        <f>'Baseline emissions'!$B85</f>
        <v>5901.5541815999995</v>
      </c>
      <c r="H66" s="13">
        <f>'Baseline emissions'!$B86</f>
        <v>53373.0068785568</v>
      </c>
      <c r="I66" s="13">
        <f>'Baseline emissions'!$B87</f>
        <v>96306.1145634368</v>
      </c>
      <c r="J66" s="13">
        <f>'Baseline emissions'!$B88</f>
        <v>96306.1145634368</v>
      </c>
      <c r="K66" s="13">
        <f>'Baseline emissions'!$B89</f>
        <v>96306.1145634368</v>
      </c>
      <c r="L66" s="13">
        <f>SUM(E66:K66)</f>
        <v>359131.09075046727</v>
      </c>
    </row>
    <row r="67" spans="1:12" ht="12.75">
      <c r="A67" t="s">
        <v>196</v>
      </c>
      <c r="B67" t="s">
        <v>109</v>
      </c>
      <c r="C67" s="28">
        <v>0</v>
      </c>
      <c r="D67" s="28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13">
        <f>SUM(E67:K67)</f>
        <v>0</v>
      </c>
    </row>
    <row r="68" spans="1:12" ht="12.75">
      <c r="A68" t="s">
        <v>223</v>
      </c>
      <c r="B68" t="s">
        <v>109</v>
      </c>
      <c r="C68" s="13">
        <f>C66-C67</f>
        <v>0</v>
      </c>
      <c r="D68" s="13">
        <f>D66-D67</f>
        <v>0</v>
      </c>
      <c r="E68" s="13">
        <f>E66-E67</f>
        <v>2144.9610000000002</v>
      </c>
      <c r="F68" s="13">
        <f aca="true" t="shared" si="19" ref="F68:K68">F66-F67</f>
        <v>8793.225</v>
      </c>
      <c r="G68" s="13">
        <f t="shared" si="19"/>
        <v>5901.5541815999995</v>
      </c>
      <c r="H68" s="13">
        <f t="shared" si="19"/>
        <v>53373.0068785568</v>
      </c>
      <c r="I68" s="13">
        <f t="shared" si="19"/>
        <v>96306.1145634368</v>
      </c>
      <c r="J68" s="13">
        <f t="shared" si="19"/>
        <v>96306.1145634368</v>
      </c>
      <c r="K68" s="13">
        <f t="shared" si="19"/>
        <v>96306.1145634368</v>
      </c>
      <c r="L68" s="13">
        <f>SUM(E68:K68)</f>
        <v>359131.09075046727</v>
      </c>
    </row>
    <row r="69" spans="3:12" ht="12.75">
      <c r="C69" s="28"/>
      <c r="D69" s="28"/>
      <c r="L69" s="13"/>
    </row>
    <row r="70" spans="1:12" ht="12.75">
      <c r="A70" s="215" t="s">
        <v>277</v>
      </c>
      <c r="C70" s="28"/>
      <c r="D70" s="28"/>
      <c r="L70" s="13"/>
    </row>
    <row r="71" spans="1:12" ht="12.75">
      <c r="A71" s="28" t="s">
        <v>188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57"/>
    </row>
    <row r="72" spans="1:12" ht="12.75">
      <c r="A72" s="280" t="s">
        <v>233</v>
      </c>
      <c r="B72" s="28" t="s">
        <v>109</v>
      </c>
      <c r="C72" s="57">
        <f>21*C49</f>
        <v>33413.9236137</v>
      </c>
      <c r="D72" s="57">
        <f>21*D49</f>
        <v>33031.620783000006</v>
      </c>
      <c r="E72" s="57">
        <f>21*E49</f>
        <v>23947.996558500003</v>
      </c>
      <c r="F72" s="57">
        <f aca="true" t="shared" si="20" ref="F72:K72">21*F49</f>
        <v>30168.646527599998</v>
      </c>
      <c r="G72" s="57">
        <f t="shared" si="20"/>
        <v>49689.660289499996</v>
      </c>
      <c r="H72" s="57">
        <f t="shared" si="20"/>
        <v>59631.069059099995</v>
      </c>
      <c r="I72" s="57">
        <f t="shared" si="20"/>
        <v>59631.069059099995</v>
      </c>
      <c r="J72" s="57">
        <f t="shared" si="20"/>
        <v>59631.069059099995</v>
      </c>
      <c r="K72" s="57">
        <f t="shared" si="20"/>
        <v>59631.069059099995</v>
      </c>
      <c r="L72" s="57">
        <f>SUM(E72:K72)</f>
        <v>342330.579612</v>
      </c>
    </row>
    <row r="73" spans="1:12" ht="12.75">
      <c r="A73" s="280" t="s">
        <v>238</v>
      </c>
      <c r="B73" s="28" t="s">
        <v>109</v>
      </c>
      <c r="C73" s="57">
        <f>'Baseline emissions'!$B101</f>
        <v>5725.70349264</v>
      </c>
      <c r="D73" s="57">
        <f>'Baseline emissions'!$B102</f>
        <v>5660.193297599999</v>
      </c>
      <c r="E73" s="57">
        <f>'Baseline emissions'!$B103</f>
        <v>4103.6523912</v>
      </c>
      <c r="F73" s="57">
        <f>'Baseline emissions'!$B104</f>
        <v>5169.6031507200005</v>
      </c>
      <c r="G73" s="57">
        <f>'Baseline emissions'!$B105</f>
        <v>8514.661874399999</v>
      </c>
      <c r="H73" s="57">
        <f>'Baseline emissions'!$B106</f>
        <v>10218.19000752</v>
      </c>
      <c r="I73" s="57">
        <f>'Baseline emissions'!$B107</f>
        <v>10218.19000752</v>
      </c>
      <c r="J73" s="57">
        <f>'Baseline emissions'!$B108</f>
        <v>10218.19000752</v>
      </c>
      <c r="K73" s="57">
        <f>'Baseline emissions'!$B109</f>
        <v>10218.19000752</v>
      </c>
      <c r="L73" s="57">
        <f>SUM(E73:K73)</f>
        <v>58660.67744639999</v>
      </c>
    </row>
    <row r="74" spans="1:12" ht="12.75">
      <c r="A74" s="28" t="s">
        <v>196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57"/>
    </row>
    <row r="75" spans="1:12" ht="12.75">
      <c r="A75" s="280" t="s">
        <v>240</v>
      </c>
      <c r="B75" s="28" t="s">
        <v>109</v>
      </c>
      <c r="C75" s="57">
        <f>2.75*0.985*C49</f>
        <v>4309.998361362374</v>
      </c>
      <c r="D75" s="57">
        <f>2.75*0.985*D49</f>
        <v>4260.68584742625</v>
      </c>
      <c r="E75" s="57">
        <f>2.75*0.985*E49</f>
        <v>3089.006460849375</v>
      </c>
      <c r="F75" s="57">
        <f aca="true" t="shared" si="21" ref="F75:K75">2.75*0.985*F49</f>
        <v>3891.3962515064995</v>
      </c>
      <c r="G75" s="57">
        <f t="shared" si="21"/>
        <v>6409.374633770624</v>
      </c>
      <c r="H75" s="57">
        <f t="shared" si="21"/>
        <v>7691.6980149446235</v>
      </c>
      <c r="I75" s="57">
        <f t="shared" si="21"/>
        <v>7691.6980149446235</v>
      </c>
      <c r="J75" s="57">
        <f t="shared" si="21"/>
        <v>7691.6980149446235</v>
      </c>
      <c r="K75" s="57">
        <f t="shared" si="21"/>
        <v>7691.6980149446235</v>
      </c>
      <c r="L75" s="57">
        <f>SUM(E75:K75)</f>
        <v>44156.56940590499</v>
      </c>
    </row>
    <row r="76" spans="1:12" ht="12.75">
      <c r="A76" s="280" t="s">
        <v>239</v>
      </c>
      <c r="B76" s="28" t="s">
        <v>109</v>
      </c>
      <c r="C76" s="57">
        <f>0.015*21*C49</f>
        <v>501.2088542055</v>
      </c>
      <c r="D76" s="57">
        <f>0.015*21*D49</f>
        <v>495.4743117450001</v>
      </c>
      <c r="E76" s="57">
        <f>0.015*21*E49</f>
        <v>359.21994837750003</v>
      </c>
      <c r="F76" s="57">
        <f aca="true" t="shared" si="22" ref="F76:K76">0.015*21*F49</f>
        <v>452.529697914</v>
      </c>
      <c r="G76" s="57">
        <f t="shared" si="22"/>
        <v>745.3449043425</v>
      </c>
      <c r="H76" s="57">
        <f t="shared" si="22"/>
        <v>894.4660358865</v>
      </c>
      <c r="I76" s="57">
        <f t="shared" si="22"/>
        <v>894.4660358865</v>
      </c>
      <c r="J76" s="57">
        <f t="shared" si="22"/>
        <v>894.4660358865</v>
      </c>
      <c r="K76" s="57">
        <f t="shared" si="22"/>
        <v>894.4660358865</v>
      </c>
      <c r="L76" s="57">
        <f>SUM(E76:K76)</f>
        <v>5134.95869418</v>
      </c>
    </row>
    <row r="77" spans="1:12" ht="12.75">
      <c r="A77" s="281" t="s">
        <v>223</v>
      </c>
      <c r="B77" s="28" t="s">
        <v>109</v>
      </c>
      <c r="C77" s="57">
        <f>C72+C73-C75-C76</f>
        <v>34328.41989077212</v>
      </c>
      <c r="D77" s="57">
        <f>D72+D73-D75-D76</f>
        <v>33935.653921428755</v>
      </c>
      <c r="E77" s="57">
        <f>E72+E73-E75-E76</f>
        <v>24603.42254047313</v>
      </c>
      <c r="F77" s="57">
        <f aca="true" t="shared" si="23" ref="F77:K77">F72+F73-F75-F76</f>
        <v>30994.323728899497</v>
      </c>
      <c r="G77" s="57">
        <f t="shared" si="23"/>
        <v>51049.60262578687</v>
      </c>
      <c r="H77" s="57">
        <f t="shared" si="23"/>
        <v>61263.09501578887</v>
      </c>
      <c r="I77" s="57">
        <f t="shared" si="23"/>
        <v>61263.09501578887</v>
      </c>
      <c r="J77" s="57">
        <f t="shared" si="23"/>
        <v>61263.09501578887</v>
      </c>
      <c r="K77" s="57">
        <f t="shared" si="23"/>
        <v>61263.09501578887</v>
      </c>
      <c r="L77" s="57">
        <f>SUM(E77:K77)</f>
        <v>351699.7289583149</v>
      </c>
    </row>
    <row r="78" spans="3:12" ht="12.75">
      <c r="C78" s="28"/>
      <c r="D78" s="28"/>
      <c r="L78" s="13"/>
    </row>
    <row r="79" spans="1:14" s="215" customFormat="1" ht="12.75">
      <c r="A79" s="215" t="s">
        <v>206</v>
      </c>
      <c r="B79" s="215" t="s">
        <v>109</v>
      </c>
      <c r="C79" s="249">
        <f>C58+C63+C68+C77</f>
        <v>34328.41989077212</v>
      </c>
      <c r="D79" s="249">
        <f>D58+D63+D68+D77</f>
        <v>33935.653921428755</v>
      </c>
      <c r="E79" s="249">
        <f>E58+E63+E68+E77</f>
        <v>428318.89303534303</v>
      </c>
      <c r="F79" s="249">
        <f aca="true" t="shared" si="24" ref="F79:K79">F58+F63+F68+F77</f>
        <v>963939.812192968</v>
      </c>
      <c r="G79" s="249">
        <f t="shared" si="24"/>
        <v>556770.3567019069</v>
      </c>
      <c r="H79" s="249">
        <f t="shared" si="24"/>
        <v>947668.1017185457</v>
      </c>
      <c r="I79" s="249">
        <f t="shared" si="24"/>
        <v>990601.2094034259</v>
      </c>
      <c r="J79" s="249">
        <f t="shared" si="24"/>
        <v>1490420.4092979457</v>
      </c>
      <c r="K79" s="249">
        <f t="shared" si="24"/>
        <v>1904062.7149100453</v>
      </c>
      <c r="L79" s="249">
        <f>SUM(C79:K79)</f>
        <v>7350045.571072381</v>
      </c>
      <c r="N79" s="250"/>
    </row>
  </sheetData>
  <printOptions/>
  <pageMargins left="0.75" right="0.75" top="1" bottom="1" header="0.5" footer="0.5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20" sqref="E20"/>
    </sheetView>
  </sheetViews>
  <sheetFormatPr defaultColWidth="9.33203125" defaultRowHeight="12.75"/>
  <cols>
    <col min="1" max="1" width="4" style="0" customWidth="1"/>
    <col min="2" max="2" width="35" style="0" customWidth="1"/>
    <col min="3" max="3" width="15.33203125" style="0" customWidth="1"/>
    <col min="4" max="4" width="16.33203125" style="0" customWidth="1"/>
    <col min="5" max="5" width="17.33203125" style="0" customWidth="1"/>
  </cols>
  <sheetData>
    <row r="1" ht="15.75">
      <c r="A1" s="219" t="s">
        <v>207</v>
      </c>
    </row>
    <row r="3" spans="1:5" ht="12.75">
      <c r="A3" s="228" t="s">
        <v>198</v>
      </c>
      <c r="B3" s="226" t="s">
        <v>199</v>
      </c>
      <c r="C3" s="228" t="s">
        <v>200</v>
      </c>
      <c r="D3" s="228" t="s">
        <v>201</v>
      </c>
      <c r="E3" s="228" t="s">
        <v>202</v>
      </c>
    </row>
    <row r="4" spans="1:5" ht="12.75">
      <c r="A4" s="25">
        <v>1</v>
      </c>
      <c r="B4" s="25" t="s">
        <v>203</v>
      </c>
      <c r="C4" s="61">
        <f>2.75*'Project emissions'!E78+'Project emissions'!B97*0.005*21</f>
        <v>647989.8607715399</v>
      </c>
      <c r="D4" s="61">
        <f>'Baseline emissions'!C27*21</f>
        <v>4789366.3268639995</v>
      </c>
      <c r="E4" s="61">
        <f>D4-C4</f>
        <v>4141376.46609246</v>
      </c>
    </row>
    <row r="5" spans="1:5" ht="12.75">
      <c r="A5" s="25">
        <v>2</v>
      </c>
      <c r="B5" s="25" t="s">
        <v>204</v>
      </c>
      <c r="C5" s="25">
        <v>0</v>
      </c>
      <c r="D5" s="61">
        <f>'Baseline emissions'!B64</f>
        <v>1103851.4385</v>
      </c>
      <c r="E5" s="61">
        <f>D5-C5</f>
        <v>1103851.4385</v>
      </c>
    </row>
    <row r="6" spans="1:5" ht="12.75">
      <c r="A6" s="25">
        <v>3</v>
      </c>
      <c r="B6" s="25" t="s">
        <v>205</v>
      </c>
      <c r="C6" s="25">
        <v>0</v>
      </c>
      <c r="D6" s="61">
        <f>'Baseline emissions'!B90</f>
        <v>348192.90475046716</v>
      </c>
      <c r="E6" s="61">
        <f>D6-C6</f>
        <v>348192.90475046716</v>
      </c>
    </row>
    <row r="7" spans="1:5" ht="12.75">
      <c r="A7" s="25">
        <v>4</v>
      </c>
      <c r="B7" s="25" t="s">
        <v>208</v>
      </c>
      <c r="C7" s="61">
        <f>'Project emissions'!D78*2.75+'Project emissions'!D97*0.015*21</f>
        <v>41499.37574143762</v>
      </c>
      <c r="D7" s="61">
        <f>'Baseline emissions'!B110+'Baseline emissions'!D27*21</f>
        <v>337601.35843038</v>
      </c>
      <c r="E7" s="61">
        <f>D7-C7</f>
        <v>296101.9826889424</v>
      </c>
    </row>
    <row r="8" spans="1:5" ht="12.75">
      <c r="A8" s="25"/>
      <c r="B8" s="226" t="s">
        <v>206</v>
      </c>
      <c r="C8" s="227">
        <f>SUM(C4:C7)</f>
        <v>689489.2365129775</v>
      </c>
      <c r="D8" s="227">
        <f>SUM(D4:D7)</f>
        <v>6579012.028544847</v>
      </c>
      <c r="E8" s="227">
        <f>SUM(E4:E7)</f>
        <v>5889522.792031869</v>
      </c>
    </row>
    <row r="10" ht="12.75">
      <c r="B10" s="318" t="s">
        <v>320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33203125" defaultRowHeight="12.75"/>
  <cols>
    <col min="1" max="1" width="37.5" style="0" customWidth="1"/>
    <col min="2" max="2" width="62.66015625" style="0" customWidth="1"/>
  </cols>
  <sheetData>
    <row r="1" spans="1:2" ht="12.75">
      <c r="A1" s="284"/>
      <c r="B1" s="284" t="s">
        <v>33</v>
      </c>
    </row>
    <row r="2" spans="1:2" ht="28.5" customHeight="1">
      <c r="A2" s="285" t="s">
        <v>256</v>
      </c>
      <c r="B2" s="288">
        <v>4</v>
      </c>
    </row>
    <row r="3" spans="1:2" ht="17.25" customHeight="1">
      <c r="A3" s="284" t="s">
        <v>89</v>
      </c>
      <c r="B3" s="284" t="s">
        <v>257</v>
      </c>
    </row>
    <row r="4" spans="1:2" ht="13.5" customHeight="1">
      <c r="A4" s="285" t="s">
        <v>251</v>
      </c>
      <c r="B4" s="286">
        <f>'Total section E'!$C10</f>
        <v>34328.41989077212</v>
      </c>
    </row>
    <row r="5" spans="1:2" ht="13.5" customHeight="1">
      <c r="A5" s="285" t="s">
        <v>252</v>
      </c>
      <c r="B5" s="286">
        <f>'Total section E'!$D10</f>
        <v>33935.65392142875</v>
      </c>
    </row>
    <row r="6" spans="1:2" ht="13.5" customHeight="1">
      <c r="A6" s="285" t="s">
        <v>25</v>
      </c>
      <c r="B6" s="286">
        <f>'Total section E'!$E10</f>
        <v>428318.89303534303</v>
      </c>
    </row>
    <row r="7" spans="1:2" ht="12.75">
      <c r="A7" s="285" t="s">
        <v>37</v>
      </c>
      <c r="B7" s="286">
        <f>'Total section E'!$F10</f>
        <v>963939.8121929679</v>
      </c>
    </row>
    <row r="8" spans="1:2" ht="39.75" customHeight="1">
      <c r="A8" s="285" t="s">
        <v>258</v>
      </c>
      <c r="B8" s="287">
        <f>SUM(B4:B7)</f>
        <v>1460522.7790405117</v>
      </c>
    </row>
    <row r="9" ht="12.75">
      <c r="B9" s="13"/>
    </row>
    <row r="10" ht="12.75">
      <c r="B10" s="13"/>
    </row>
    <row r="11" spans="1:2" ht="12.75">
      <c r="A11" s="284"/>
      <c r="B11" s="284" t="s">
        <v>33</v>
      </c>
    </row>
    <row r="12" spans="1:2" ht="27.75" customHeight="1">
      <c r="A12" s="285" t="s">
        <v>259</v>
      </c>
      <c r="B12" s="288">
        <v>5</v>
      </c>
    </row>
    <row r="13" spans="1:2" ht="16.5" customHeight="1">
      <c r="A13" s="284" t="s">
        <v>89</v>
      </c>
      <c r="B13" s="284" t="s">
        <v>257</v>
      </c>
    </row>
    <row r="14" spans="1:2" ht="12.75">
      <c r="A14" s="285" t="s">
        <v>39</v>
      </c>
      <c r="B14" s="287">
        <f>'Total section E'!$J$10</f>
        <v>556770.3567019069</v>
      </c>
    </row>
    <row r="15" spans="1:2" ht="12.75">
      <c r="A15" s="285" t="s">
        <v>40</v>
      </c>
      <c r="B15" s="287">
        <f>'Total section E'!$K$10</f>
        <v>947668.1017185455</v>
      </c>
    </row>
    <row r="16" spans="1:2" ht="12.75">
      <c r="A16" s="285" t="s">
        <v>41</v>
      </c>
      <c r="B16" s="287">
        <f>'Total section E'!$L$10</f>
        <v>990601.2094034256</v>
      </c>
    </row>
    <row r="17" spans="1:2" ht="12.75">
      <c r="A17" s="285" t="s">
        <v>42</v>
      </c>
      <c r="B17" s="287">
        <f>'Total section E'!$M$10</f>
        <v>1490420.4092979454</v>
      </c>
    </row>
    <row r="18" spans="1:2" ht="12.75">
      <c r="A18" s="285" t="s">
        <v>43</v>
      </c>
      <c r="B18" s="287">
        <f>'Total section E'!$N$10</f>
        <v>1904062.7149100453</v>
      </c>
    </row>
    <row r="19" spans="1:2" ht="42" customHeight="1">
      <c r="A19" s="285" t="s">
        <v>260</v>
      </c>
      <c r="B19" s="287">
        <f>SUM(B14:B18)</f>
        <v>5889522.792031869</v>
      </c>
    </row>
    <row r="20" spans="1:2" ht="43.5" customHeight="1">
      <c r="A20" s="285" t="s">
        <v>261</v>
      </c>
      <c r="B20" s="287">
        <f>B19/5</f>
        <v>1177904.558406374</v>
      </c>
    </row>
  </sheetData>
  <printOptions/>
  <pageMargins left="0.75" right="0.75" top="1" bottom="1" header="0.5" footer="0.5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4">
      <selection activeCell="C20" sqref="C20"/>
    </sheetView>
  </sheetViews>
  <sheetFormatPr defaultColWidth="9.33203125" defaultRowHeight="12.75"/>
  <cols>
    <col min="1" max="1" width="16.33203125" style="0" customWidth="1"/>
    <col min="2" max="2" width="21.83203125" style="0" customWidth="1"/>
    <col min="3" max="3" width="12.5" style="0" customWidth="1"/>
    <col min="4" max="4" width="13" style="0" customWidth="1"/>
    <col min="5" max="5" width="13.5" style="0" customWidth="1"/>
    <col min="7" max="7" width="9.66015625" style="0" customWidth="1"/>
    <col min="8" max="10" width="9.66015625" style="0" bestFit="1" customWidth="1"/>
    <col min="13" max="13" width="10.66015625" style="0" bestFit="1" customWidth="1"/>
    <col min="14" max="14" width="9.66015625" style="0" bestFit="1" customWidth="1"/>
  </cols>
  <sheetData>
    <row r="1" ht="18.75">
      <c r="A1" s="55" t="s">
        <v>241</v>
      </c>
    </row>
    <row r="3" ht="13.5" thickBot="1">
      <c r="A3" t="s">
        <v>4</v>
      </c>
    </row>
    <row r="4" spans="1:4" ht="12.75">
      <c r="A4" s="16" t="s">
        <v>3</v>
      </c>
      <c r="B4" s="3"/>
      <c r="C4" s="91"/>
      <c r="D4" s="4"/>
    </row>
    <row r="5" spans="1:4" ht="27.75" customHeight="1">
      <c r="A5" s="17" t="s">
        <v>30</v>
      </c>
      <c r="B5" s="18" t="s">
        <v>31</v>
      </c>
      <c r="C5" s="291" t="s">
        <v>282</v>
      </c>
      <c r="D5" s="294" t="s">
        <v>283</v>
      </c>
    </row>
    <row r="6" spans="1:4" s="1" customFormat="1" ht="12.75" customHeight="1">
      <c r="A6" s="19" t="s">
        <v>0</v>
      </c>
      <c r="B6" s="20" t="s">
        <v>1</v>
      </c>
      <c r="C6" s="292" t="s">
        <v>2</v>
      </c>
      <c r="D6" s="295" t="s">
        <v>2</v>
      </c>
    </row>
    <row r="7" spans="1:11" ht="13.5" thickBot="1">
      <c r="A7" s="5">
        <v>3.035</v>
      </c>
      <c r="B7" s="6">
        <v>2.63</v>
      </c>
      <c r="C7" s="293">
        <v>42</v>
      </c>
      <c r="D7" s="301">
        <v>700.8</v>
      </c>
      <c r="E7" s="21"/>
      <c r="F7" s="2"/>
      <c r="G7" s="2"/>
      <c r="H7" s="2"/>
      <c r="I7" s="2"/>
      <c r="J7" s="2"/>
      <c r="K7" s="2"/>
    </row>
    <row r="8" spans="1:11" ht="12.75">
      <c r="A8" s="22"/>
      <c r="B8" s="22"/>
      <c r="C8" s="22"/>
      <c r="F8" s="2"/>
      <c r="G8" s="2"/>
      <c r="H8" s="2"/>
      <c r="I8" s="2"/>
      <c r="J8" s="2"/>
      <c r="K8" s="2"/>
    </row>
    <row r="9" spans="1:11" ht="13.5" thickBot="1">
      <c r="A9" s="252" t="s">
        <v>242</v>
      </c>
      <c r="B9" s="22"/>
      <c r="C9" s="22"/>
      <c r="F9" s="2"/>
      <c r="G9" s="2"/>
      <c r="H9" s="2"/>
      <c r="I9" s="2"/>
      <c r="J9" s="2"/>
      <c r="K9" s="2"/>
    </row>
    <row r="10" spans="1:11" ht="12.75">
      <c r="A10" s="273" t="s">
        <v>243</v>
      </c>
      <c r="B10" s="274"/>
      <c r="C10" s="275">
        <v>6800</v>
      </c>
      <c r="F10" s="2"/>
      <c r="G10" s="2"/>
      <c r="H10" s="2"/>
      <c r="I10" s="2"/>
      <c r="J10" s="2"/>
      <c r="K10" s="2"/>
    </row>
    <row r="11" spans="1:11" ht="13.5" thickBot="1">
      <c r="A11" s="276" t="s">
        <v>245</v>
      </c>
      <c r="B11" s="6"/>
      <c r="C11" s="277">
        <v>4360</v>
      </c>
      <c r="F11" s="2"/>
      <c r="G11" s="2"/>
      <c r="H11" s="2"/>
      <c r="I11" s="2"/>
      <c r="J11" s="2"/>
      <c r="K11" s="2"/>
    </row>
    <row r="12" spans="1:11" ht="12.75">
      <c r="A12" s="252"/>
      <c r="B12" s="22"/>
      <c r="C12" s="22"/>
      <c r="F12" s="2"/>
      <c r="G12" s="2"/>
      <c r="H12" s="2"/>
      <c r="I12" s="2"/>
      <c r="J12" s="2"/>
      <c r="K12" s="2"/>
    </row>
    <row r="13" ht="13.5" thickBot="1">
      <c r="A13" t="s">
        <v>12</v>
      </c>
    </row>
    <row r="14" spans="1:6" ht="18.75">
      <c r="A14" s="23" t="s">
        <v>246</v>
      </c>
      <c r="B14" s="3"/>
      <c r="C14" s="4"/>
      <c r="E14" s="106"/>
      <c r="F14" s="64"/>
    </row>
    <row r="15" spans="1:3" ht="12.75">
      <c r="A15" s="24" t="s">
        <v>10</v>
      </c>
      <c r="B15" s="25"/>
      <c r="C15" s="278">
        <f>A7*C10</f>
        <v>20638</v>
      </c>
    </row>
    <row r="16" spans="1:3" ht="13.5" thickBot="1">
      <c r="A16" s="26" t="s">
        <v>11</v>
      </c>
      <c r="B16" s="27"/>
      <c r="C16" s="279">
        <f>C15*24</f>
        <v>495312</v>
      </c>
    </row>
    <row r="17" spans="1:5" ht="12.75">
      <c r="A17" s="28"/>
      <c r="B17" s="28"/>
      <c r="C17" s="29"/>
      <c r="D17" s="29"/>
      <c r="E17" s="29"/>
    </row>
    <row r="18" ht="13.5" thickBot="1">
      <c r="A18" t="s">
        <v>15</v>
      </c>
    </row>
    <row r="19" spans="1:11" ht="12.75">
      <c r="A19" s="23" t="s">
        <v>247</v>
      </c>
      <c r="B19" s="3"/>
      <c r="C19" s="4"/>
      <c r="F19" s="64"/>
      <c r="G19" s="64"/>
      <c r="H19" s="64"/>
      <c r="I19" s="64"/>
      <c r="J19" s="64"/>
      <c r="K19" s="64"/>
    </row>
    <row r="20" spans="1:3" ht="12.75">
      <c r="A20" s="30" t="s">
        <v>13</v>
      </c>
      <c r="B20" s="25"/>
      <c r="C20" s="278">
        <f>B7*C11</f>
        <v>11466.8</v>
      </c>
    </row>
    <row r="21" spans="1:3" ht="13.5" thickBot="1">
      <c r="A21" s="31" t="s">
        <v>14</v>
      </c>
      <c r="B21" s="27"/>
      <c r="C21" s="279">
        <f>C20*24</f>
        <v>275203.19999999995</v>
      </c>
    </row>
    <row r="22" spans="1:4" ht="12.75">
      <c r="A22" s="28"/>
      <c r="B22" s="28"/>
      <c r="C22" s="29"/>
      <c r="D22" s="29"/>
    </row>
    <row r="23" ht="13.5" thickBot="1">
      <c r="A23" t="s">
        <v>19</v>
      </c>
    </row>
    <row r="24" spans="1:3" ht="12.75">
      <c r="A24" s="23" t="s">
        <v>16</v>
      </c>
      <c r="B24" s="3"/>
      <c r="C24" s="4"/>
    </row>
    <row r="25" spans="1:3" ht="12.75">
      <c r="A25" s="32" t="s">
        <v>17</v>
      </c>
      <c r="B25" s="25"/>
      <c r="C25" s="62">
        <f>(C7+D7)*C10</f>
        <v>5051040</v>
      </c>
    </row>
    <row r="26" spans="1:3" ht="13.5" thickBot="1">
      <c r="A26" s="34" t="s">
        <v>18</v>
      </c>
      <c r="B26" s="27"/>
      <c r="C26" s="181">
        <f>C25*24</f>
        <v>121224960</v>
      </c>
    </row>
    <row r="27" spans="1:3" ht="12.75">
      <c r="A27" s="28"/>
      <c r="B27" s="28"/>
      <c r="C27" s="35"/>
    </row>
    <row r="28" ht="13.5" thickBot="1">
      <c r="A28" s="36" t="s">
        <v>23</v>
      </c>
    </row>
    <row r="29" spans="1:3" ht="12.75">
      <c r="A29" s="23" t="s">
        <v>20</v>
      </c>
      <c r="B29" s="3"/>
      <c r="C29" s="4"/>
    </row>
    <row r="30" spans="1:4" ht="18.75">
      <c r="A30" s="32" t="s">
        <v>21</v>
      </c>
      <c r="B30" s="25"/>
      <c r="C30" s="206">
        <f>C25*0.7167/1000</f>
        <v>3620.0803680000004</v>
      </c>
      <c r="D30" s="106"/>
    </row>
    <row r="31" spans="1:3" ht="13.5" thickBot="1">
      <c r="A31" s="34" t="s">
        <v>22</v>
      </c>
      <c r="B31" s="27"/>
      <c r="C31" s="181">
        <f>C30*24</f>
        <v>86881.928832</v>
      </c>
    </row>
    <row r="32" ht="12.75">
      <c r="C32" s="11"/>
    </row>
    <row r="33" spans="1:3" ht="13.5" thickBot="1">
      <c r="A33" s="36" t="s">
        <v>244</v>
      </c>
      <c r="C33" s="11"/>
    </row>
    <row r="34" spans="1:3" ht="12.75">
      <c r="A34" s="23" t="s">
        <v>24</v>
      </c>
      <c r="B34" s="3"/>
      <c r="C34" s="4"/>
    </row>
    <row r="35" spans="1:3" ht="12.75">
      <c r="A35" s="30" t="s">
        <v>21</v>
      </c>
      <c r="B35" s="25"/>
      <c r="C35" s="62">
        <f>C30*21</f>
        <v>76021.687728</v>
      </c>
    </row>
    <row r="36" spans="1:3" s="215" customFormat="1" ht="13.5" thickBot="1">
      <c r="A36" s="296" t="s">
        <v>22</v>
      </c>
      <c r="B36" s="297"/>
      <c r="C36" s="298">
        <f>C35*24</f>
        <v>1824520.5054720002</v>
      </c>
    </row>
    <row r="37" spans="1:3" ht="12.75">
      <c r="A37" s="28"/>
      <c r="B37" s="28"/>
      <c r="C37" s="35"/>
    </row>
    <row r="40" ht="19.5" customHeight="1" thickBot="1">
      <c r="A40" t="s">
        <v>47</v>
      </c>
    </row>
    <row r="41" spans="1:4" ht="19.5" customHeight="1">
      <c r="A41" s="54" t="s">
        <v>104</v>
      </c>
      <c r="B41" s="3" t="s">
        <v>49</v>
      </c>
      <c r="C41" s="91" t="s">
        <v>48</v>
      </c>
      <c r="D41" s="92"/>
    </row>
    <row r="42" spans="1:4" ht="15" customHeight="1">
      <c r="A42" s="339" t="s">
        <v>50</v>
      </c>
      <c r="B42" s="88" t="s">
        <v>51</v>
      </c>
      <c r="C42" s="90" t="s">
        <v>57</v>
      </c>
      <c r="D42" s="62">
        <v>2640</v>
      </c>
    </row>
    <row r="43" spans="1:4" ht="11.25" customHeight="1">
      <c r="A43" s="340"/>
      <c r="B43" s="88"/>
      <c r="C43" s="90" t="s">
        <v>56</v>
      </c>
      <c r="D43" s="62">
        <v>5472</v>
      </c>
    </row>
    <row r="44" spans="1:4" ht="12.75">
      <c r="A44" s="339" t="s">
        <v>52</v>
      </c>
      <c r="B44" s="336" t="s">
        <v>53</v>
      </c>
      <c r="C44" s="90" t="s">
        <v>57</v>
      </c>
      <c r="D44" s="33">
        <v>0.05</v>
      </c>
    </row>
    <row r="45" spans="1:4" ht="15" customHeight="1">
      <c r="A45" s="340"/>
      <c r="B45" s="338"/>
      <c r="C45" s="90" t="s">
        <v>56</v>
      </c>
      <c r="D45" s="33">
        <v>0.3</v>
      </c>
    </row>
    <row r="46" spans="1:4" ht="20.25" customHeight="1">
      <c r="A46" s="334" t="s">
        <v>54</v>
      </c>
      <c r="B46" s="336" t="s">
        <v>55</v>
      </c>
      <c r="C46" s="90" t="s">
        <v>57</v>
      </c>
      <c r="D46" s="94">
        <v>45</v>
      </c>
    </row>
    <row r="47" spans="1:4" ht="15" customHeight="1">
      <c r="A47" s="341"/>
      <c r="B47" s="338"/>
      <c r="C47" s="90" t="s">
        <v>56</v>
      </c>
      <c r="D47" s="94">
        <v>110</v>
      </c>
    </row>
    <row r="48" spans="1:4" ht="25.5" customHeight="1">
      <c r="A48" s="93" t="s">
        <v>58</v>
      </c>
      <c r="B48" s="88" t="s">
        <v>59</v>
      </c>
      <c r="C48" s="90"/>
      <c r="D48" s="94">
        <v>1</v>
      </c>
    </row>
    <row r="49" spans="1:4" ht="24" customHeight="1">
      <c r="A49" s="89" t="s">
        <v>60</v>
      </c>
      <c r="B49" s="88" t="s">
        <v>59</v>
      </c>
      <c r="C49" s="90"/>
      <c r="D49" s="94">
        <v>5</v>
      </c>
    </row>
    <row r="50" spans="1:4" ht="13.5" customHeight="1">
      <c r="A50" s="334" t="s">
        <v>61</v>
      </c>
      <c r="B50" s="336" t="s">
        <v>62</v>
      </c>
      <c r="C50" s="90" t="s">
        <v>57</v>
      </c>
      <c r="D50" s="95">
        <v>33</v>
      </c>
    </row>
    <row r="51" spans="1:4" ht="13.5" thickBot="1">
      <c r="A51" s="335"/>
      <c r="B51" s="337"/>
      <c r="C51" s="97" t="s">
        <v>56</v>
      </c>
      <c r="D51" s="96">
        <v>61</v>
      </c>
    </row>
  </sheetData>
  <mergeCells count="7">
    <mergeCell ref="A50:A51"/>
    <mergeCell ref="B50:B51"/>
    <mergeCell ref="B46:B47"/>
    <mergeCell ref="A42:A43"/>
    <mergeCell ref="B44:B45"/>
    <mergeCell ref="A46:A47"/>
    <mergeCell ref="A44:A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2" sqref="A2"/>
    </sheetView>
  </sheetViews>
  <sheetFormatPr defaultColWidth="9.33203125" defaultRowHeight="12.75"/>
  <cols>
    <col min="1" max="1" width="12.16015625" style="306" customWidth="1"/>
    <col min="2" max="2" width="11.66015625" style="306" customWidth="1"/>
    <col min="3" max="3" width="11.5" style="306" customWidth="1"/>
    <col min="4" max="4" width="11.83203125" style="306" bestFit="1" customWidth="1"/>
    <col min="5" max="5" width="13.5" style="306" customWidth="1"/>
    <col min="6" max="14" width="11.83203125" style="306" bestFit="1" customWidth="1"/>
    <col min="15" max="15" width="13" style="306" bestFit="1" customWidth="1"/>
    <col min="16" max="16" width="13.66015625" style="306" customWidth="1"/>
    <col min="17" max="16384" width="10.66015625" style="306" customWidth="1"/>
  </cols>
  <sheetData>
    <row r="1" ht="12.75">
      <c r="A1" s="313" t="s">
        <v>319</v>
      </c>
    </row>
    <row r="2" spans="1:2" ht="12.75">
      <c r="A2" s="305"/>
      <c r="B2" s="305"/>
    </row>
    <row r="3" spans="1:2" ht="12.75">
      <c r="A3" s="316" t="s">
        <v>316</v>
      </c>
      <c r="B3" s="305"/>
    </row>
    <row r="4" spans="1:2" ht="12.75">
      <c r="A4" s="316" t="s">
        <v>317</v>
      </c>
      <c r="B4" s="313" t="s">
        <v>199</v>
      </c>
    </row>
    <row r="5" spans="1:2" ht="12.75">
      <c r="A5" s="312">
        <v>39448</v>
      </c>
      <c r="B5" s="309" t="s">
        <v>315</v>
      </c>
    </row>
    <row r="6" spans="1:2" ht="12.75">
      <c r="A6" s="312">
        <v>39508</v>
      </c>
      <c r="B6" s="309" t="s">
        <v>288</v>
      </c>
    </row>
    <row r="7" spans="1:2" ht="12.75">
      <c r="A7" s="312">
        <v>39539</v>
      </c>
      <c r="B7" s="309" t="s">
        <v>318</v>
      </c>
    </row>
    <row r="8" spans="1:2" ht="12.75">
      <c r="A8" s="312">
        <v>39722</v>
      </c>
      <c r="B8" s="306" t="s">
        <v>288</v>
      </c>
    </row>
    <row r="9" spans="1:2" ht="12.75">
      <c r="A9" s="312">
        <v>40725</v>
      </c>
      <c r="B9" s="306" t="s">
        <v>289</v>
      </c>
    </row>
    <row r="10" spans="1:2" ht="12.75">
      <c r="A10" s="305"/>
      <c r="B10" s="305"/>
    </row>
    <row r="11" ht="12.75">
      <c r="P11" s="311"/>
    </row>
    <row r="12" spans="1:16" ht="12.75">
      <c r="A12" s="307" t="s">
        <v>308</v>
      </c>
      <c r="B12" s="307"/>
      <c r="C12" s="309" t="s">
        <v>295</v>
      </c>
      <c r="D12" s="309" t="s">
        <v>296</v>
      </c>
      <c r="E12" s="309" t="s">
        <v>297</v>
      </c>
      <c r="F12" s="309" t="s">
        <v>298</v>
      </c>
      <c r="G12" s="309" t="s">
        <v>299</v>
      </c>
      <c r="H12" s="309" t="s">
        <v>300</v>
      </c>
      <c r="I12" s="309" t="s">
        <v>301</v>
      </c>
      <c r="J12" s="309" t="s">
        <v>302</v>
      </c>
      <c r="K12" s="309" t="s">
        <v>303</v>
      </c>
      <c r="L12" s="309" t="s">
        <v>304</v>
      </c>
      <c r="M12" s="309" t="s">
        <v>305</v>
      </c>
      <c r="N12" s="309" t="s">
        <v>306</v>
      </c>
      <c r="O12" s="309" t="s">
        <v>35</v>
      </c>
      <c r="P12" s="311"/>
    </row>
    <row r="13" spans="1:16" ht="12.75">
      <c r="A13" s="308" t="s">
        <v>290</v>
      </c>
      <c r="B13" s="307" t="s">
        <v>309</v>
      </c>
      <c r="C13" s="311">
        <v>2500000</v>
      </c>
      <c r="D13" s="311">
        <v>2500000</v>
      </c>
      <c r="E13" s="311">
        <v>2500000</v>
      </c>
      <c r="F13" s="311">
        <v>3600000</v>
      </c>
      <c r="G13" s="311">
        <f aca="true" t="shared" si="0" ref="G13:L13">F13</f>
        <v>3600000</v>
      </c>
      <c r="H13" s="311">
        <f t="shared" si="0"/>
        <v>3600000</v>
      </c>
      <c r="I13" s="311">
        <f t="shared" si="0"/>
        <v>3600000</v>
      </c>
      <c r="J13" s="311">
        <f t="shared" si="0"/>
        <v>3600000</v>
      </c>
      <c r="K13" s="311">
        <f t="shared" si="0"/>
        <v>3600000</v>
      </c>
      <c r="L13" s="311">
        <f t="shared" si="0"/>
        <v>3600000</v>
      </c>
      <c r="M13" s="311">
        <v>4500000</v>
      </c>
      <c r="N13" s="311">
        <f>M13</f>
        <v>4500000</v>
      </c>
      <c r="O13" s="311">
        <f>SUM(C13:N13)</f>
        <v>41700000</v>
      </c>
      <c r="P13" s="311">
        <f>0.8*O13</f>
        <v>33360000</v>
      </c>
    </row>
    <row r="14" spans="1:16" ht="12.75">
      <c r="A14" s="308" t="s">
        <v>291</v>
      </c>
      <c r="B14" s="307" t="s">
        <v>309</v>
      </c>
      <c r="C14" s="311">
        <v>4500000</v>
      </c>
      <c r="D14" s="311">
        <v>4500000</v>
      </c>
      <c r="E14" s="311">
        <v>4500000</v>
      </c>
      <c r="F14" s="311">
        <v>4500000</v>
      </c>
      <c r="G14" s="311">
        <v>4500000</v>
      </c>
      <c r="H14" s="311">
        <v>4500000</v>
      </c>
      <c r="I14" s="311">
        <v>4500000</v>
      </c>
      <c r="J14" s="311">
        <v>4500000</v>
      </c>
      <c r="K14" s="311">
        <v>4500000</v>
      </c>
      <c r="L14" s="311">
        <v>4500000</v>
      </c>
      <c r="M14" s="311">
        <v>4500000</v>
      </c>
      <c r="N14" s="311">
        <v>4500000</v>
      </c>
      <c r="O14" s="311">
        <f>SUM(C14:N14)</f>
        <v>54000000</v>
      </c>
      <c r="P14" s="311">
        <f>0.8*O14</f>
        <v>43200000</v>
      </c>
    </row>
    <row r="15" spans="1:16" ht="12.75">
      <c r="A15" s="308" t="s">
        <v>292</v>
      </c>
      <c r="B15" s="307" t="s">
        <v>309</v>
      </c>
      <c r="C15" s="311">
        <f>C14</f>
        <v>4500000</v>
      </c>
      <c r="D15" s="311">
        <f aca="true" t="shared" si="1" ref="D15:N16">D14</f>
        <v>4500000</v>
      </c>
      <c r="E15" s="311">
        <f t="shared" si="1"/>
        <v>4500000</v>
      </c>
      <c r="F15" s="311">
        <f t="shared" si="1"/>
        <v>4500000</v>
      </c>
      <c r="G15" s="311">
        <f t="shared" si="1"/>
        <v>4500000</v>
      </c>
      <c r="H15" s="311">
        <f t="shared" si="1"/>
        <v>4500000</v>
      </c>
      <c r="I15" s="311">
        <f t="shared" si="1"/>
        <v>4500000</v>
      </c>
      <c r="J15" s="311">
        <f t="shared" si="1"/>
        <v>4500000</v>
      </c>
      <c r="K15" s="311">
        <f t="shared" si="1"/>
        <v>4500000</v>
      </c>
      <c r="L15" s="311">
        <f t="shared" si="1"/>
        <v>4500000</v>
      </c>
      <c r="M15" s="311">
        <f t="shared" si="1"/>
        <v>4500000</v>
      </c>
      <c r="N15" s="311">
        <f t="shared" si="1"/>
        <v>4500000</v>
      </c>
      <c r="O15" s="311">
        <f>SUM(C15:N15)</f>
        <v>54000000</v>
      </c>
      <c r="P15" s="311">
        <f>0.8*O15</f>
        <v>43200000</v>
      </c>
    </row>
    <row r="16" spans="1:16" ht="12.75">
      <c r="A16" s="310" t="s">
        <v>293</v>
      </c>
      <c r="B16" s="309" t="s">
        <v>309</v>
      </c>
      <c r="C16" s="311">
        <f>C15</f>
        <v>4500000</v>
      </c>
      <c r="D16" s="311">
        <f t="shared" si="1"/>
        <v>4500000</v>
      </c>
      <c r="E16" s="311">
        <f t="shared" si="1"/>
        <v>4500000</v>
      </c>
      <c r="F16" s="311">
        <f t="shared" si="1"/>
        <v>4500000</v>
      </c>
      <c r="G16" s="311">
        <f t="shared" si="1"/>
        <v>4500000</v>
      </c>
      <c r="H16" s="311">
        <f t="shared" si="1"/>
        <v>4500000</v>
      </c>
      <c r="I16" s="311">
        <f aca="true" t="shared" si="2" ref="I16:N16">10000000</f>
        <v>10000000</v>
      </c>
      <c r="J16" s="311">
        <f t="shared" si="2"/>
        <v>10000000</v>
      </c>
      <c r="K16" s="311">
        <f t="shared" si="2"/>
        <v>10000000</v>
      </c>
      <c r="L16" s="311">
        <f t="shared" si="2"/>
        <v>10000000</v>
      </c>
      <c r="M16" s="311">
        <f t="shared" si="2"/>
        <v>10000000</v>
      </c>
      <c r="N16" s="311">
        <f t="shared" si="2"/>
        <v>10000000</v>
      </c>
      <c r="O16" s="311">
        <f>SUM(C16:N16)</f>
        <v>87000000</v>
      </c>
      <c r="P16" s="311">
        <f>0.8*O16</f>
        <v>69600000</v>
      </c>
    </row>
    <row r="17" spans="1:16" ht="12.75">
      <c r="A17" s="310" t="s">
        <v>294</v>
      </c>
      <c r="B17" s="309" t="s">
        <v>309</v>
      </c>
      <c r="C17" s="311">
        <v>10000000</v>
      </c>
      <c r="D17" s="311">
        <v>10000000</v>
      </c>
      <c r="E17" s="311">
        <v>10000000</v>
      </c>
      <c r="F17" s="311">
        <v>10000000</v>
      </c>
      <c r="G17" s="311">
        <v>10000000</v>
      </c>
      <c r="H17" s="311">
        <v>10000000</v>
      </c>
      <c r="I17" s="311">
        <v>10000000</v>
      </c>
      <c r="J17" s="311">
        <v>10000000</v>
      </c>
      <c r="K17" s="311">
        <v>10000000</v>
      </c>
      <c r="L17" s="311">
        <v>10000000</v>
      </c>
      <c r="M17" s="311">
        <v>10000000</v>
      </c>
      <c r="N17" s="311">
        <v>10000000</v>
      </c>
      <c r="O17" s="311">
        <f>SUM(C17:N17)</f>
        <v>120000000</v>
      </c>
      <c r="P17" s="311">
        <f>0.8*O17</f>
        <v>96000000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B70" sqref="B70"/>
    </sheetView>
  </sheetViews>
  <sheetFormatPr defaultColWidth="9.33203125" defaultRowHeight="12.75"/>
  <cols>
    <col min="1" max="1" width="23.66015625" style="0" customWidth="1"/>
    <col min="2" max="3" width="27.83203125" style="0" customWidth="1"/>
    <col min="4" max="4" width="25.16015625" style="0" customWidth="1"/>
    <col min="5" max="5" width="21.33203125" style="0" customWidth="1"/>
    <col min="6" max="10" width="17.33203125" style="0" customWidth="1"/>
    <col min="11" max="11" width="17.33203125" style="64" customWidth="1"/>
    <col min="12" max="15" width="17.33203125" style="0" customWidth="1"/>
    <col min="16" max="16" width="17.83203125" style="0" customWidth="1"/>
    <col min="17" max="17" width="23.5" style="0" customWidth="1"/>
    <col min="18" max="18" width="15.5" style="0" customWidth="1"/>
  </cols>
  <sheetData>
    <row r="1" ht="18.75">
      <c r="A1" s="55" t="s">
        <v>241</v>
      </c>
    </row>
    <row r="2" ht="12.75">
      <c r="A2" s="7"/>
    </row>
    <row r="3" ht="12.75">
      <c r="A3" s="7" t="s">
        <v>75</v>
      </c>
    </row>
    <row r="4" spans="10:11" ht="12.75">
      <c r="J4" s="64"/>
      <c r="K4"/>
    </row>
    <row r="5" spans="1:11" ht="13.5" thickBot="1">
      <c r="A5" s="215" t="s">
        <v>25</v>
      </c>
      <c r="B5" s="215" t="s">
        <v>26</v>
      </c>
      <c r="J5" s="64"/>
      <c r="K5"/>
    </row>
    <row r="6" spans="1:15" ht="12.75">
      <c r="A6" s="222" t="s">
        <v>27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98">
        <v>8</v>
      </c>
      <c r="J6" s="38">
        <v>9</v>
      </c>
      <c r="K6" s="38">
        <v>10</v>
      </c>
      <c r="L6" s="38">
        <v>11</v>
      </c>
      <c r="M6" s="46">
        <v>12</v>
      </c>
      <c r="N6" s="49" t="s">
        <v>36</v>
      </c>
      <c r="O6" s="113"/>
    </row>
    <row r="7" spans="1:15" ht="12.75">
      <c r="A7" s="43" t="s">
        <v>191</v>
      </c>
      <c r="B7" s="202">
        <v>405</v>
      </c>
      <c r="C7" s="202">
        <v>2164</v>
      </c>
      <c r="D7" s="202">
        <v>3170</v>
      </c>
      <c r="E7" s="202">
        <v>5107</v>
      </c>
      <c r="F7" s="202">
        <v>11250</v>
      </c>
      <c r="G7" s="202">
        <v>15164</v>
      </c>
      <c r="H7" s="202">
        <v>15184</v>
      </c>
      <c r="I7" s="203">
        <v>12170</v>
      </c>
      <c r="J7" s="203">
        <v>6642</v>
      </c>
      <c r="K7" s="203">
        <v>1961</v>
      </c>
      <c r="L7" s="202">
        <v>7992</v>
      </c>
      <c r="M7" s="243">
        <v>13103.081</v>
      </c>
      <c r="N7" s="199">
        <f>SUM(B7:M7)</f>
        <v>94312.081</v>
      </c>
      <c r="O7" s="114" t="s">
        <v>71</v>
      </c>
    </row>
    <row r="8" spans="1:14" ht="12.75">
      <c r="A8" s="30" t="s">
        <v>192</v>
      </c>
      <c r="B8" s="40">
        <v>0</v>
      </c>
      <c r="C8" s="40">
        <v>0</v>
      </c>
      <c r="D8" s="40">
        <v>0</v>
      </c>
      <c r="E8" s="40">
        <v>0</v>
      </c>
      <c r="F8" s="40">
        <v>12</v>
      </c>
      <c r="G8" s="40">
        <v>12</v>
      </c>
      <c r="H8" s="40">
        <v>12</v>
      </c>
      <c r="I8" s="99">
        <v>12</v>
      </c>
      <c r="J8" s="40">
        <v>12</v>
      </c>
      <c r="K8" s="40">
        <v>12</v>
      </c>
      <c r="L8" s="40">
        <v>12</v>
      </c>
      <c r="M8" s="47">
        <v>12</v>
      </c>
      <c r="N8" s="48"/>
    </row>
    <row r="9" spans="1:14" ht="12.75">
      <c r="A9" s="30" t="s">
        <v>193</v>
      </c>
      <c r="B9" s="40"/>
      <c r="C9" s="40"/>
      <c r="D9" s="40"/>
      <c r="E9" s="40"/>
      <c r="F9" s="40" t="s">
        <v>45</v>
      </c>
      <c r="G9" s="40" t="s">
        <v>45</v>
      </c>
      <c r="H9" s="40" t="s">
        <v>45</v>
      </c>
      <c r="I9" s="99" t="s">
        <v>45</v>
      </c>
      <c r="J9" s="40" t="s">
        <v>45</v>
      </c>
      <c r="K9" s="40" t="s">
        <v>45</v>
      </c>
      <c r="L9" s="40">
        <v>612</v>
      </c>
      <c r="M9" s="47">
        <v>632.4</v>
      </c>
      <c r="N9" s="48"/>
    </row>
    <row r="10" spans="1:14" ht="12.75">
      <c r="A10" s="80" t="s">
        <v>287</v>
      </c>
      <c r="B10" s="40"/>
      <c r="C10" s="40"/>
      <c r="D10" s="40"/>
      <c r="E10" s="40"/>
      <c r="F10" s="40"/>
      <c r="G10" s="40"/>
      <c r="H10" s="40"/>
      <c r="I10" s="99"/>
      <c r="J10" s="40"/>
      <c r="K10" s="40"/>
      <c r="L10" s="40"/>
      <c r="M10" s="47"/>
      <c r="N10" s="300">
        <f>SUM(B10:M10)</f>
        <v>0</v>
      </c>
    </row>
    <row r="11" spans="1:14" ht="12.75">
      <c r="A11" s="220" t="s">
        <v>284</v>
      </c>
      <c r="B11" s="198">
        <v>105924</v>
      </c>
      <c r="C11" s="198">
        <v>570000</v>
      </c>
      <c r="D11" s="198">
        <v>834211</v>
      </c>
      <c r="E11" s="198">
        <v>1346066</v>
      </c>
      <c r="F11" s="198">
        <v>2961000</v>
      </c>
      <c r="G11" s="198">
        <v>3990960</v>
      </c>
      <c r="H11" s="198">
        <v>3996360</v>
      </c>
      <c r="I11" s="198">
        <v>3203055</v>
      </c>
      <c r="J11" s="198">
        <v>1748509</v>
      </c>
      <c r="K11" s="198">
        <v>516119</v>
      </c>
      <c r="L11" s="198">
        <v>1982093</v>
      </c>
      <c r="M11" s="244">
        <v>3367254</v>
      </c>
      <c r="N11" s="300">
        <f>SUM(B11:M11)</f>
        <v>24621551</v>
      </c>
    </row>
    <row r="12" spans="1:14" ht="12.75">
      <c r="A12" s="115" t="s">
        <v>32</v>
      </c>
      <c r="B12" s="50">
        <f aca="true" t="shared" si="0" ref="B12:N12">(B10+B11)*0.7167/1000</f>
        <v>75.9157308</v>
      </c>
      <c r="C12" s="50">
        <f t="shared" si="0"/>
        <v>408.519</v>
      </c>
      <c r="D12" s="50">
        <f t="shared" si="0"/>
        <v>597.8790237000001</v>
      </c>
      <c r="E12" s="50">
        <f t="shared" si="0"/>
        <v>964.7255021999999</v>
      </c>
      <c r="F12" s="50">
        <f t="shared" si="0"/>
        <v>2122.1487</v>
      </c>
      <c r="G12" s="50">
        <f t="shared" si="0"/>
        <v>2860.3210320000003</v>
      </c>
      <c r="H12" s="50">
        <f t="shared" si="0"/>
        <v>2864.1912119999997</v>
      </c>
      <c r="I12" s="50">
        <f t="shared" si="0"/>
        <v>2295.6295185000004</v>
      </c>
      <c r="J12" s="50">
        <f t="shared" si="0"/>
        <v>1253.1564003</v>
      </c>
      <c r="K12" s="50">
        <f t="shared" si="0"/>
        <v>369.90248729999996</v>
      </c>
      <c r="L12" s="50">
        <f t="shared" si="0"/>
        <v>1420.5660530999999</v>
      </c>
      <c r="M12" s="50">
        <f t="shared" si="0"/>
        <v>2413.3109418000004</v>
      </c>
      <c r="N12" s="50">
        <f t="shared" si="0"/>
        <v>17646.2656017</v>
      </c>
    </row>
    <row r="13" spans="10:11" ht="12.75">
      <c r="J13" s="64"/>
      <c r="K13"/>
    </row>
    <row r="14" spans="1:14" ht="13.5" thickBot="1">
      <c r="A14" s="116"/>
      <c r="B14" s="303"/>
      <c r="C14" s="76"/>
      <c r="D14" s="304"/>
      <c r="E14" s="303"/>
      <c r="F14" s="76"/>
      <c r="G14" s="76"/>
      <c r="H14" s="76"/>
      <c r="I14" s="76"/>
      <c r="J14" s="76"/>
      <c r="K14" s="76"/>
      <c r="L14" s="76"/>
      <c r="M14" s="76"/>
      <c r="N14" s="76"/>
    </row>
    <row r="15" spans="1:13" ht="15.75">
      <c r="A15" s="70" t="s">
        <v>26</v>
      </c>
      <c r="B15" s="79" t="s">
        <v>37</v>
      </c>
      <c r="C15" s="71"/>
      <c r="D15" s="70" t="s">
        <v>26</v>
      </c>
      <c r="E15" s="79" t="s">
        <v>39</v>
      </c>
      <c r="F15" s="71"/>
      <c r="G15" s="71"/>
      <c r="H15" s="100"/>
      <c r="I15" s="71"/>
      <c r="J15" s="71"/>
      <c r="K15" s="71"/>
      <c r="L15" s="71"/>
      <c r="M15" s="72"/>
    </row>
    <row r="16" spans="1:13" ht="12.75">
      <c r="A16" s="43" t="s">
        <v>29</v>
      </c>
      <c r="B16" s="204">
        <v>193922</v>
      </c>
      <c r="C16" s="73"/>
      <c r="D16" s="43" t="s">
        <v>29</v>
      </c>
      <c r="E16" s="204">
        <f>$E$17*'General '!$A$7*$E$18</f>
        <v>123828</v>
      </c>
      <c r="F16" s="73"/>
      <c r="G16" s="73"/>
      <c r="H16" s="101"/>
      <c r="I16" s="73"/>
      <c r="J16" s="73"/>
      <c r="K16" s="73"/>
      <c r="L16" s="73"/>
      <c r="M16" s="74"/>
    </row>
    <row r="17" spans="1:13" ht="12.75">
      <c r="A17" s="30" t="s">
        <v>194</v>
      </c>
      <c r="B17" s="81">
        <v>12</v>
      </c>
      <c r="C17" s="75"/>
      <c r="D17" s="30" t="s">
        <v>194</v>
      </c>
      <c r="E17" s="81">
        <v>6</v>
      </c>
      <c r="F17" s="75"/>
      <c r="G17" s="75"/>
      <c r="H17" s="102"/>
      <c r="I17" s="75"/>
      <c r="J17" s="75"/>
      <c r="K17" s="75"/>
      <c r="L17" s="75"/>
      <c r="M17" s="28"/>
    </row>
    <row r="18" spans="1:13" ht="12.75">
      <c r="A18" s="30" t="s">
        <v>28</v>
      </c>
      <c r="B18" s="81">
        <f>'General '!C10</f>
        <v>6800</v>
      </c>
      <c r="C18" s="75"/>
      <c r="D18" s="30" t="s">
        <v>28</v>
      </c>
      <c r="E18" s="81">
        <f>'General '!C10</f>
        <v>6800</v>
      </c>
      <c r="F18" s="75"/>
      <c r="G18" s="75"/>
      <c r="H18" s="102"/>
      <c r="I18" s="75"/>
      <c r="J18" s="75"/>
      <c r="K18" s="75"/>
      <c r="L18" s="75"/>
      <c r="M18" s="28"/>
    </row>
    <row r="19" spans="1:15" ht="12.75">
      <c r="A19" s="220" t="s">
        <v>280</v>
      </c>
      <c r="B19" s="224">
        <v>2083767</v>
      </c>
      <c r="C19" s="103"/>
      <c r="D19" s="220" t="s">
        <v>280</v>
      </c>
      <c r="E19" s="224">
        <f>$E$18*'General '!$C$7*$E$17</f>
        <v>1713600</v>
      </c>
      <c r="F19" s="76"/>
      <c r="G19" s="76"/>
      <c r="H19" s="103"/>
      <c r="I19" s="76"/>
      <c r="J19" s="76"/>
      <c r="K19" s="76"/>
      <c r="L19" s="76"/>
      <c r="M19" s="74"/>
      <c r="O19" s="66"/>
    </row>
    <row r="20" spans="1:15" ht="12.75">
      <c r="A20" s="290" t="s">
        <v>281</v>
      </c>
      <c r="B20" s="224">
        <v>55575405</v>
      </c>
      <c r="C20" s="103"/>
      <c r="D20" s="290" t="s">
        <v>281</v>
      </c>
      <c r="E20" s="224">
        <f>$E$18*'General '!$D$7*$E$17</f>
        <v>28592640</v>
      </c>
      <c r="F20" s="76"/>
      <c r="G20" s="76"/>
      <c r="H20" s="103"/>
      <c r="I20" s="76"/>
      <c r="J20" s="76"/>
      <c r="K20" s="76"/>
      <c r="L20" s="76"/>
      <c r="M20" s="74"/>
      <c r="O20" s="66"/>
    </row>
    <row r="21" spans="1:13" ht="12.75">
      <c r="A21" s="115" t="s">
        <v>32</v>
      </c>
      <c r="B21" s="78">
        <f>($B$19+$B$20)*0.7167/1000</f>
        <v>41324.3285724</v>
      </c>
      <c r="C21" s="77"/>
      <c r="D21" s="80" t="s">
        <v>32</v>
      </c>
      <c r="E21" s="78">
        <f>($E$19+$E$20)*0.7167/1000</f>
        <v>21720.482208</v>
      </c>
      <c r="F21" s="77"/>
      <c r="G21" s="77"/>
      <c r="H21" s="104"/>
      <c r="I21" s="77"/>
      <c r="J21" s="77"/>
      <c r="K21" s="77"/>
      <c r="L21" s="77"/>
      <c r="M21" s="74"/>
    </row>
    <row r="22" spans="4:14" ht="13.5" thickBot="1">
      <c r="D22" s="28"/>
      <c r="E22" s="28"/>
      <c r="F22" s="28"/>
      <c r="G22" s="28"/>
      <c r="H22" s="28"/>
      <c r="I22" s="36"/>
      <c r="J22" s="28"/>
      <c r="K22" s="28"/>
      <c r="L22" s="28"/>
      <c r="M22" s="28"/>
      <c r="N22" s="28"/>
    </row>
    <row r="23" spans="1:13" ht="15.75">
      <c r="A23" s="70" t="s">
        <v>26</v>
      </c>
      <c r="B23" s="79" t="s">
        <v>40</v>
      </c>
      <c r="C23" s="71"/>
      <c r="D23" s="70" t="s">
        <v>26</v>
      </c>
      <c r="E23" s="79" t="s">
        <v>41</v>
      </c>
      <c r="F23" s="28"/>
      <c r="G23" s="28"/>
      <c r="H23" s="36"/>
      <c r="I23" s="28"/>
      <c r="J23" s="28"/>
      <c r="K23" s="28"/>
      <c r="L23" s="28"/>
      <c r="M23" s="28"/>
    </row>
    <row r="24" spans="1:13" ht="12.75">
      <c r="A24" s="43" t="s">
        <v>29</v>
      </c>
      <c r="B24" s="205">
        <f>$B$25*$B$26*'General '!$A$7</f>
        <v>206380</v>
      </c>
      <c r="C24" s="73"/>
      <c r="D24" s="43" t="s">
        <v>29</v>
      </c>
      <c r="E24" s="204">
        <f>$E$25*$E$26*'General '!$A$7</f>
        <v>123828</v>
      </c>
      <c r="F24" s="28"/>
      <c r="G24" s="28"/>
      <c r="H24" s="36"/>
      <c r="I24" s="28"/>
      <c r="J24" s="28"/>
      <c r="K24" s="28"/>
      <c r="L24" s="28"/>
      <c r="M24" s="28"/>
    </row>
    <row r="25" spans="1:13" ht="12.75">
      <c r="A25" s="30" t="s">
        <v>194</v>
      </c>
      <c r="B25" s="78">
        <v>10</v>
      </c>
      <c r="C25" s="75"/>
      <c r="D25" s="30" t="s">
        <v>194</v>
      </c>
      <c r="E25" s="81">
        <v>6</v>
      </c>
      <c r="F25" s="28"/>
      <c r="G25" s="28"/>
      <c r="H25" s="36"/>
      <c r="I25" s="28"/>
      <c r="J25" s="28"/>
      <c r="K25" s="28"/>
      <c r="L25" s="28"/>
      <c r="M25" s="28"/>
    </row>
    <row r="26" spans="1:13" ht="12.75">
      <c r="A26" s="30" t="s">
        <v>28</v>
      </c>
      <c r="B26" s="78">
        <f>'General '!C10</f>
        <v>6800</v>
      </c>
      <c r="C26" s="75"/>
      <c r="D26" s="30" t="s">
        <v>28</v>
      </c>
      <c r="E26" s="78">
        <f>'General '!C10</f>
        <v>6800</v>
      </c>
      <c r="F26" s="28"/>
      <c r="G26" s="28"/>
      <c r="H26" s="36"/>
      <c r="I26" s="28"/>
      <c r="J26" s="28"/>
      <c r="K26" s="28"/>
      <c r="L26" s="28"/>
      <c r="M26" s="28"/>
    </row>
    <row r="27" spans="1:13" ht="12.75">
      <c r="A27" s="220" t="s">
        <v>280</v>
      </c>
      <c r="B27" s="78">
        <f>'General '!$C$7*$B$26*$B$25</f>
        <v>2856000</v>
      </c>
      <c r="C27" s="76"/>
      <c r="D27" s="220" t="s">
        <v>280</v>
      </c>
      <c r="E27" s="78">
        <f>$E$18*'General '!$C$7*$E$25</f>
        <v>1713600</v>
      </c>
      <c r="F27" s="28"/>
      <c r="G27" s="28"/>
      <c r="H27" s="36"/>
      <c r="I27" s="28"/>
      <c r="J27" s="28"/>
      <c r="K27" s="28"/>
      <c r="L27" s="28"/>
      <c r="M27" s="28"/>
    </row>
    <row r="28" spans="1:13" ht="12.75">
      <c r="A28" s="290" t="s">
        <v>281</v>
      </c>
      <c r="B28" s="78">
        <f>'General '!$D$7*$B$26*$B$25</f>
        <v>47654400</v>
      </c>
      <c r="C28" s="76"/>
      <c r="D28" s="290" t="s">
        <v>281</v>
      </c>
      <c r="E28" s="78">
        <f>$E$18*'General '!$D$7*$E$25</f>
        <v>28592640</v>
      </c>
      <c r="F28" s="28"/>
      <c r="G28" s="28"/>
      <c r="H28" s="36"/>
      <c r="I28" s="28"/>
      <c r="J28" s="28"/>
      <c r="K28" s="28"/>
      <c r="L28" s="28"/>
      <c r="M28" s="28"/>
    </row>
    <row r="29" spans="1:13" ht="12.75">
      <c r="A29" s="115" t="s">
        <v>32</v>
      </c>
      <c r="B29" s="78">
        <f>($B$27+$B$28)*0.7167/1000</f>
        <v>36200.80368</v>
      </c>
      <c r="C29" s="77"/>
      <c r="D29" s="80" t="s">
        <v>32</v>
      </c>
      <c r="E29" s="78">
        <f>(E27+E28)*0.7167/1000</f>
        <v>21720.482208</v>
      </c>
      <c r="F29" s="28"/>
      <c r="G29" s="28"/>
      <c r="H29" s="36"/>
      <c r="I29" s="28"/>
      <c r="J29" s="28"/>
      <c r="K29" s="28"/>
      <c r="L29" s="28"/>
      <c r="M29" s="28"/>
    </row>
    <row r="30" spans="3:13" ht="13.5" thickBot="1">
      <c r="C30" s="28"/>
      <c r="D30" s="28"/>
      <c r="E30" s="28"/>
      <c r="F30" s="28"/>
      <c r="G30" s="28"/>
      <c r="H30" s="36"/>
      <c r="I30" s="28"/>
      <c r="J30" s="28"/>
      <c r="K30" s="28"/>
      <c r="L30" s="28"/>
      <c r="M30" s="28"/>
    </row>
    <row r="31" spans="1:13" ht="15.75">
      <c r="A31" s="70" t="s">
        <v>26</v>
      </c>
      <c r="B31" s="79" t="s">
        <v>42</v>
      </c>
      <c r="C31" s="71"/>
      <c r="D31" s="70" t="s">
        <v>26</v>
      </c>
      <c r="E31" s="79" t="s">
        <v>43</v>
      </c>
      <c r="F31" s="28"/>
      <c r="G31" s="28"/>
      <c r="H31" s="36"/>
      <c r="I31" s="28"/>
      <c r="J31" s="28"/>
      <c r="K31" s="28"/>
      <c r="L31" s="28"/>
      <c r="M31" s="28"/>
    </row>
    <row r="32" spans="1:13" ht="12.75">
      <c r="A32" s="43" t="s">
        <v>29</v>
      </c>
      <c r="B32" s="204">
        <f>$B$33*$B$34*'General '!$A$7</f>
        <v>206380</v>
      </c>
      <c r="C32" s="73"/>
      <c r="D32" s="43" t="s">
        <v>29</v>
      </c>
      <c r="E32" s="204">
        <f>$E$33*$E$34*'General '!$A$7</f>
        <v>227018</v>
      </c>
      <c r="F32" s="28"/>
      <c r="G32" s="28"/>
      <c r="H32" s="36"/>
      <c r="I32" s="28"/>
      <c r="J32" s="28"/>
      <c r="K32" s="28"/>
      <c r="L32" s="28"/>
      <c r="M32" s="28"/>
    </row>
    <row r="33" spans="1:13" ht="12.75">
      <c r="A33" s="30" t="s">
        <v>194</v>
      </c>
      <c r="B33" s="81">
        <v>10</v>
      </c>
      <c r="C33" s="75"/>
      <c r="D33" s="30" t="s">
        <v>194</v>
      </c>
      <c r="E33" s="78">
        <v>11</v>
      </c>
      <c r="F33" s="28"/>
      <c r="G33" s="28"/>
      <c r="H33" s="36"/>
      <c r="I33" s="28"/>
      <c r="J33" s="28"/>
      <c r="K33" s="28"/>
      <c r="L33" s="28"/>
      <c r="M33" s="28"/>
    </row>
    <row r="34" spans="1:13" ht="12.75">
      <c r="A34" s="30" t="s">
        <v>28</v>
      </c>
      <c r="B34" s="78">
        <f>'General '!C10</f>
        <v>6800</v>
      </c>
      <c r="C34" s="75"/>
      <c r="D34" s="30" t="s">
        <v>28</v>
      </c>
      <c r="E34" s="78">
        <f>'General '!C10</f>
        <v>6800</v>
      </c>
      <c r="F34" s="28"/>
      <c r="G34" s="28"/>
      <c r="H34" s="36"/>
      <c r="I34" s="28"/>
      <c r="J34" s="28"/>
      <c r="K34" s="28"/>
      <c r="L34" s="28"/>
      <c r="M34" s="28"/>
    </row>
    <row r="35" spans="1:13" ht="12.75">
      <c r="A35" s="220" t="s">
        <v>280</v>
      </c>
      <c r="B35" s="78">
        <f>$B$34*'General '!$C$7*$B$33</f>
        <v>2856000</v>
      </c>
      <c r="C35" s="76"/>
      <c r="D35" s="220" t="s">
        <v>280</v>
      </c>
      <c r="E35" s="78">
        <f>$E$34*'General '!$C$7*$E$33</f>
        <v>3141600</v>
      </c>
      <c r="F35" s="28"/>
      <c r="G35" s="28"/>
      <c r="H35" s="36"/>
      <c r="I35" s="28"/>
      <c r="J35" s="28"/>
      <c r="K35" s="28"/>
      <c r="L35" s="28"/>
      <c r="M35" s="28"/>
    </row>
    <row r="36" spans="1:13" ht="12.75">
      <c r="A36" s="290" t="s">
        <v>281</v>
      </c>
      <c r="B36" s="78">
        <f>$B$34*'General '!$D$7*$B$33</f>
        <v>47654400</v>
      </c>
      <c r="C36" s="76"/>
      <c r="D36" s="290" t="s">
        <v>281</v>
      </c>
      <c r="E36" s="78">
        <f>$E$34*'General '!$D$7*$E$33</f>
        <v>52419840</v>
      </c>
      <c r="F36" s="28"/>
      <c r="G36" s="28"/>
      <c r="H36" s="36"/>
      <c r="I36" s="28"/>
      <c r="J36" s="28"/>
      <c r="K36" s="28"/>
      <c r="L36" s="28"/>
      <c r="M36" s="28"/>
    </row>
    <row r="37" spans="1:13" ht="12.75">
      <c r="A37" s="115" t="s">
        <v>32</v>
      </c>
      <c r="B37" s="78">
        <f>(B35+B36)*0.7167/1000</f>
        <v>36200.80368</v>
      </c>
      <c r="C37" s="77"/>
      <c r="D37" s="80" t="s">
        <v>32</v>
      </c>
      <c r="E37" s="78">
        <f>(E35+E36)*0.7167/1000</f>
        <v>39820.884048</v>
      </c>
      <c r="F37" s="28"/>
      <c r="G37" s="28"/>
      <c r="H37" s="36"/>
      <c r="I37" s="28"/>
      <c r="J37" s="28"/>
      <c r="K37" s="28"/>
      <c r="L37" s="28"/>
      <c r="M37" s="28"/>
    </row>
    <row r="38" spans="9:11" ht="12.75">
      <c r="I38" s="64"/>
      <c r="K38"/>
    </row>
    <row r="39" spans="10:11" ht="12.75">
      <c r="J39" s="64"/>
      <c r="K39"/>
    </row>
    <row r="40" spans="2:11" ht="13.5" thickBot="1">
      <c r="B40" t="s">
        <v>37</v>
      </c>
      <c r="C40" t="s">
        <v>38</v>
      </c>
      <c r="J40" s="64"/>
      <c r="K40"/>
    </row>
    <row r="41" spans="1:15" ht="12.75">
      <c r="A41" s="222" t="s">
        <v>27</v>
      </c>
      <c r="B41" s="223"/>
      <c r="C41" s="38">
        <v>1</v>
      </c>
      <c r="D41" s="38">
        <v>2</v>
      </c>
      <c r="E41" s="38">
        <v>3</v>
      </c>
      <c r="F41" s="38">
        <v>4</v>
      </c>
      <c r="G41" s="38">
        <v>5</v>
      </c>
      <c r="H41" s="38">
        <v>6</v>
      </c>
      <c r="I41" s="38">
        <v>7</v>
      </c>
      <c r="J41" s="98">
        <v>8</v>
      </c>
      <c r="K41" s="38">
        <v>9</v>
      </c>
      <c r="L41" s="38">
        <v>10</v>
      </c>
      <c r="M41" s="38">
        <v>11</v>
      </c>
      <c r="N41" s="46">
        <v>12</v>
      </c>
      <c r="O41" s="49" t="s">
        <v>36</v>
      </c>
    </row>
    <row r="42" spans="1:15" ht="12.75">
      <c r="A42" s="43" t="s">
        <v>29</v>
      </c>
      <c r="B42" s="44"/>
      <c r="C42" s="45"/>
      <c r="D42" s="45"/>
      <c r="E42" s="45"/>
      <c r="F42" s="45"/>
      <c r="G42" s="68"/>
      <c r="H42" s="68"/>
      <c r="I42" s="68"/>
      <c r="J42" s="203"/>
      <c r="K42" s="202"/>
      <c r="L42" s="203"/>
      <c r="M42" s="202"/>
      <c r="N42" s="202"/>
      <c r="O42" s="199">
        <f>SUM(J42:N42)</f>
        <v>0</v>
      </c>
    </row>
    <row r="43" spans="1:15" ht="12.75">
      <c r="A43" s="30" t="s">
        <v>194</v>
      </c>
      <c r="B43" s="39"/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99"/>
      <c r="K43" s="40"/>
      <c r="L43" s="47"/>
      <c r="M43" s="47"/>
      <c r="N43" s="47"/>
      <c r="O43" s="48"/>
    </row>
    <row r="44" spans="1:17" ht="13.5" customHeight="1">
      <c r="A44" s="30" t="s">
        <v>28</v>
      </c>
      <c r="B44" s="39"/>
      <c r="C44" s="40"/>
      <c r="D44" s="40"/>
      <c r="E44" s="40"/>
      <c r="F44" s="40"/>
      <c r="G44" s="40"/>
      <c r="H44" s="40"/>
      <c r="I44" s="40"/>
      <c r="J44" s="99"/>
      <c r="K44" s="40"/>
      <c r="L44" s="47"/>
      <c r="M44" s="47"/>
      <c r="N44" s="302"/>
      <c r="O44" s="105"/>
      <c r="P44" s="106"/>
      <c r="Q44" s="64"/>
    </row>
    <row r="45" spans="1:15" ht="12.75">
      <c r="A45" s="220" t="s">
        <v>285</v>
      </c>
      <c r="B45" s="221"/>
      <c r="C45" s="50"/>
      <c r="D45" s="50"/>
      <c r="E45" s="50"/>
      <c r="F45" s="50"/>
      <c r="G45" s="67"/>
      <c r="H45" s="67"/>
      <c r="I45" s="67"/>
      <c r="J45" s="198"/>
      <c r="K45" s="50"/>
      <c r="L45" s="50"/>
      <c r="M45" s="50"/>
      <c r="N45" s="50">
        <f>N44*'General '!C7</f>
        <v>0</v>
      </c>
      <c r="O45" s="199">
        <f>SUM(J45:N45)</f>
        <v>0</v>
      </c>
    </row>
    <row r="46" spans="1:15" ht="12.75">
      <c r="A46" s="290" t="s">
        <v>284</v>
      </c>
      <c r="B46" s="221"/>
      <c r="C46" s="50"/>
      <c r="D46" s="50"/>
      <c r="E46" s="50"/>
      <c r="F46" s="50"/>
      <c r="G46" s="67"/>
      <c r="H46" s="67"/>
      <c r="I46" s="67"/>
      <c r="J46" s="198"/>
      <c r="K46" s="50"/>
      <c r="L46" s="50"/>
      <c r="M46" s="50"/>
      <c r="N46" s="50">
        <f>N44*'General '!D7</f>
        <v>0</v>
      </c>
      <c r="O46" s="199">
        <f>SUM(J46:N46)</f>
        <v>0</v>
      </c>
    </row>
    <row r="47" spans="1:15" ht="12.75">
      <c r="A47" s="115" t="s">
        <v>32</v>
      </c>
      <c r="B47" s="60"/>
      <c r="C47" s="40"/>
      <c r="D47" s="40"/>
      <c r="E47" s="40"/>
      <c r="F47" s="40"/>
      <c r="G47" s="67"/>
      <c r="H47" s="67"/>
      <c r="I47" s="67"/>
      <c r="J47" s="201"/>
      <c r="K47" s="200"/>
      <c r="L47" s="200"/>
      <c r="M47" s="200"/>
      <c r="N47" s="200">
        <f>(N45+N46)*0.7167/1000</f>
        <v>0</v>
      </c>
      <c r="O47" s="199">
        <f>SUM(J47:N47)</f>
        <v>0</v>
      </c>
    </row>
    <row r="48" spans="10:11" ht="12.75">
      <c r="J48" s="64"/>
      <c r="K48"/>
    </row>
    <row r="49" spans="5:11" ht="12.75">
      <c r="E49" t="s">
        <v>46</v>
      </c>
      <c r="J49" s="64"/>
      <c r="K49"/>
    </row>
    <row r="50" spans="10:11" ht="13.5" thickBot="1">
      <c r="J50" s="64"/>
      <c r="K50"/>
    </row>
    <row r="51" spans="1:11" ht="15.75">
      <c r="A51" s="70" t="s">
        <v>38</v>
      </c>
      <c r="B51" s="79" t="s">
        <v>39</v>
      </c>
      <c r="C51" s="71"/>
      <c r="D51" s="70" t="s">
        <v>38</v>
      </c>
      <c r="E51" s="79" t="s">
        <v>40</v>
      </c>
      <c r="H51" s="64"/>
      <c r="K51"/>
    </row>
    <row r="52" spans="1:11" ht="12.75">
      <c r="A52" s="43" t="s">
        <v>191</v>
      </c>
      <c r="B52" s="204">
        <f>$B$53*$B$54*'General '!$A$7</f>
        <v>0</v>
      </c>
      <c r="C52" s="73"/>
      <c r="D52" s="43" t="s">
        <v>191</v>
      </c>
      <c r="E52" s="204">
        <f>'General '!$A$7*$E$53*$E$54</f>
        <v>0</v>
      </c>
      <c r="H52" s="64"/>
      <c r="K52"/>
    </row>
    <row r="53" spans="1:11" ht="12.75">
      <c r="A53" s="30" t="s">
        <v>194</v>
      </c>
      <c r="B53" s="78">
        <v>0</v>
      </c>
      <c r="C53" s="75"/>
      <c r="D53" s="30" t="s">
        <v>194</v>
      </c>
      <c r="E53" s="78">
        <v>0</v>
      </c>
      <c r="H53" s="64"/>
      <c r="K53"/>
    </row>
    <row r="54" spans="1:11" ht="12.75">
      <c r="A54" s="30" t="s">
        <v>28</v>
      </c>
      <c r="B54" s="78">
        <f>0.25*'General '!C10</f>
        <v>1700</v>
      </c>
      <c r="C54" s="75"/>
      <c r="D54" s="30" t="s">
        <v>28</v>
      </c>
      <c r="E54" s="78">
        <f>'General '!C10</f>
        <v>6800</v>
      </c>
      <c r="H54" s="64"/>
      <c r="K54"/>
    </row>
    <row r="55" spans="1:11" ht="12.75">
      <c r="A55" s="220" t="s">
        <v>280</v>
      </c>
      <c r="B55" s="78">
        <f>B54*'General '!C7*B53</f>
        <v>0</v>
      </c>
      <c r="C55" s="76"/>
      <c r="D55" s="220" t="s">
        <v>280</v>
      </c>
      <c r="E55" s="78">
        <f>'General '!$C$7*$E$53*$E$54</f>
        <v>0</v>
      </c>
      <c r="H55" s="64"/>
      <c r="K55"/>
    </row>
    <row r="56" spans="1:11" ht="12.75">
      <c r="A56" s="290" t="s">
        <v>281</v>
      </c>
      <c r="B56" s="78">
        <f>B54*'General '!D7*B53</f>
        <v>0</v>
      </c>
      <c r="C56" s="76"/>
      <c r="D56" s="290" t="s">
        <v>281</v>
      </c>
      <c r="E56" s="78">
        <f>'General '!$D$7*$E$53*$E$54</f>
        <v>0</v>
      </c>
      <c r="H56" s="64"/>
      <c r="K56"/>
    </row>
    <row r="57" spans="1:11" ht="12.75">
      <c r="A57" s="115" t="s">
        <v>32</v>
      </c>
      <c r="B57" s="78">
        <f>($B$55+$B$56)*0.7167/1000</f>
        <v>0</v>
      </c>
      <c r="C57" s="77"/>
      <c r="D57" s="80" t="s">
        <v>32</v>
      </c>
      <c r="E57" s="78">
        <f>($E$55+$E$56)*0.7167/1000</f>
        <v>0</v>
      </c>
      <c r="H57" s="64"/>
      <c r="K57"/>
    </row>
    <row r="58" spans="3:11" ht="13.5" thickBot="1">
      <c r="C58" s="28"/>
      <c r="D58" s="28"/>
      <c r="E58" s="28"/>
      <c r="H58" s="64"/>
      <c r="K58"/>
    </row>
    <row r="59" spans="1:11" ht="15.75">
      <c r="A59" s="70" t="s">
        <v>38</v>
      </c>
      <c r="B59" s="79" t="s">
        <v>41</v>
      </c>
      <c r="C59" s="71"/>
      <c r="D59" s="70" t="s">
        <v>38</v>
      </c>
      <c r="E59" s="79" t="s">
        <v>42</v>
      </c>
      <c r="H59" s="64"/>
      <c r="K59"/>
    </row>
    <row r="60" spans="1:11" ht="12.75">
      <c r="A60" s="43" t="s">
        <v>191</v>
      </c>
      <c r="B60" s="205">
        <f>B61*B62*'General '!$A$7</f>
        <v>82552</v>
      </c>
      <c r="C60" s="73"/>
      <c r="D60" s="43" t="s">
        <v>191</v>
      </c>
      <c r="E60" s="204">
        <f>$E$61*$E$62*'General '!$A$7</f>
        <v>123828</v>
      </c>
      <c r="H60" s="64"/>
      <c r="K60"/>
    </row>
    <row r="61" spans="1:11" ht="12.75">
      <c r="A61" s="30" t="s">
        <v>194</v>
      </c>
      <c r="B61" s="78">
        <v>4</v>
      </c>
      <c r="C61" s="75"/>
      <c r="D61" s="30" t="s">
        <v>194</v>
      </c>
      <c r="E61" s="78">
        <v>6</v>
      </c>
      <c r="H61" s="64"/>
      <c r="K61"/>
    </row>
    <row r="62" spans="1:11" ht="12.75">
      <c r="A62" s="30" t="s">
        <v>28</v>
      </c>
      <c r="B62" s="78">
        <f>'General '!C10</f>
        <v>6800</v>
      </c>
      <c r="C62" s="75"/>
      <c r="D62" s="30" t="s">
        <v>28</v>
      </c>
      <c r="E62" s="78">
        <f>'General '!C10</f>
        <v>6800</v>
      </c>
      <c r="H62" s="64"/>
      <c r="K62"/>
    </row>
    <row r="63" spans="1:11" ht="12.75">
      <c r="A63" s="220" t="s">
        <v>280</v>
      </c>
      <c r="B63" s="78">
        <f>'General '!$C$7*$B$62*$B$61</f>
        <v>1142400</v>
      </c>
      <c r="C63" s="76"/>
      <c r="D63" s="220" t="s">
        <v>280</v>
      </c>
      <c r="E63" s="78">
        <f>$E$61*$E$62*'General '!$C$7</f>
        <v>1713600</v>
      </c>
      <c r="H63" s="64"/>
      <c r="K63"/>
    </row>
    <row r="64" spans="1:11" ht="12.75">
      <c r="A64" s="290" t="s">
        <v>281</v>
      </c>
      <c r="B64" s="78">
        <f>'General '!$D$7*$B$62*$B$61</f>
        <v>19061760</v>
      </c>
      <c r="C64" s="76"/>
      <c r="D64" s="290" t="s">
        <v>281</v>
      </c>
      <c r="E64" s="78">
        <f>$E$61*$E$62*'General '!$D$7</f>
        <v>28592640</v>
      </c>
      <c r="H64" s="64"/>
      <c r="K64"/>
    </row>
    <row r="65" spans="1:11" ht="12.75">
      <c r="A65" s="116" t="s">
        <v>32</v>
      </c>
      <c r="B65" s="78">
        <f>($B$63+$B$64)*0.7167/1000</f>
        <v>14480.321472000001</v>
      </c>
      <c r="C65" s="77"/>
      <c r="D65" s="80" t="s">
        <v>32</v>
      </c>
      <c r="E65" s="78">
        <f>(E63+E64)*0.7167/1000</f>
        <v>21720.482208</v>
      </c>
      <c r="H65" s="64"/>
      <c r="K65"/>
    </row>
    <row r="66" spans="3:11" ht="13.5" thickBot="1">
      <c r="C66" s="28"/>
      <c r="D66" s="28"/>
      <c r="E66" s="28"/>
      <c r="F66" s="28"/>
      <c r="I66" s="64"/>
      <c r="K66"/>
    </row>
    <row r="67" spans="1:11" ht="15.75">
      <c r="A67" s="70" t="s">
        <v>38</v>
      </c>
      <c r="B67" s="79" t="s">
        <v>43</v>
      </c>
      <c r="C67" s="71"/>
      <c r="D67" s="82"/>
      <c r="E67" s="83"/>
      <c r="F67" s="71"/>
      <c r="I67" s="64"/>
      <c r="K67"/>
    </row>
    <row r="68" spans="1:11" ht="12.75">
      <c r="A68" s="43" t="s">
        <v>191</v>
      </c>
      <c r="B68" s="204">
        <f>$B$69*$B$70*'General '!$A$7</f>
        <v>206380</v>
      </c>
      <c r="C68" s="73"/>
      <c r="D68" s="83"/>
      <c r="E68" s="83"/>
      <c r="F68" s="84"/>
      <c r="I68" s="64"/>
      <c r="K68"/>
    </row>
    <row r="69" spans="1:11" ht="12.75">
      <c r="A69" s="30" t="s">
        <v>194</v>
      </c>
      <c r="B69" s="78">
        <v>10</v>
      </c>
      <c r="C69" s="75"/>
      <c r="D69" s="83"/>
      <c r="E69" s="83"/>
      <c r="F69" s="85"/>
      <c r="I69" s="64"/>
      <c r="K69"/>
    </row>
    <row r="70" spans="1:11" ht="12.75">
      <c r="A70" s="30" t="s">
        <v>28</v>
      </c>
      <c r="B70" s="78">
        <f>'General '!C10</f>
        <v>6800</v>
      </c>
      <c r="C70" s="75"/>
      <c r="D70" s="83"/>
      <c r="E70" s="83"/>
      <c r="F70" s="85"/>
      <c r="I70" s="64"/>
      <c r="K70"/>
    </row>
    <row r="71" spans="1:11" ht="12.75">
      <c r="A71" s="220" t="s">
        <v>280</v>
      </c>
      <c r="B71" s="78">
        <f>$B$70*'General '!$C$7*$B$69</f>
        <v>2856000</v>
      </c>
      <c r="C71" s="76"/>
      <c r="D71" s="343"/>
      <c r="E71" s="343"/>
      <c r="F71" s="76"/>
      <c r="I71" s="64"/>
      <c r="K71"/>
    </row>
    <row r="72" spans="1:11" ht="12.75">
      <c r="A72" s="290" t="s">
        <v>281</v>
      </c>
      <c r="B72" s="78">
        <f>$B$70*'General '!$D$7*$B$69</f>
        <v>47654400</v>
      </c>
      <c r="C72" s="76"/>
      <c r="D72" s="83"/>
      <c r="E72" s="83"/>
      <c r="F72" s="76"/>
      <c r="I72" s="64"/>
      <c r="K72"/>
    </row>
    <row r="73" spans="1:11" ht="12.75">
      <c r="A73" s="115" t="s">
        <v>32</v>
      </c>
      <c r="B73" s="78">
        <f>(B71+B72)*0.7167/1000</f>
        <v>36200.80368</v>
      </c>
      <c r="C73" s="77"/>
      <c r="D73" s="83"/>
      <c r="E73" s="28"/>
      <c r="F73" s="77"/>
      <c r="I73" s="64"/>
      <c r="K73"/>
    </row>
    <row r="74" ht="12.75"/>
    <row r="75" ht="13.5" thickBot="1"/>
    <row r="76" ht="12.75">
      <c r="A76" s="225" t="s">
        <v>195</v>
      </c>
    </row>
    <row r="77" ht="13.5" thickBot="1">
      <c r="A77" s="107">
        <v>0.05</v>
      </c>
    </row>
    <row r="78" ht="12.75"/>
    <row r="79" ht="12.75">
      <c r="A79" t="s">
        <v>226</v>
      </c>
    </row>
    <row r="80" ht="13.5" thickBot="1">
      <c r="A80" t="s">
        <v>63</v>
      </c>
    </row>
    <row r="81" spans="1:7" ht="12.75">
      <c r="A81" s="65" t="s">
        <v>33</v>
      </c>
      <c r="B81" s="65" t="s">
        <v>210</v>
      </c>
      <c r="C81" s="65" t="s">
        <v>211</v>
      </c>
      <c r="D81" s="65" t="s">
        <v>210</v>
      </c>
      <c r="E81" s="65" t="s">
        <v>211</v>
      </c>
      <c r="F81" s="65" t="s">
        <v>35</v>
      </c>
      <c r="G81" s="65" t="s">
        <v>73</v>
      </c>
    </row>
    <row r="82" spans="1:7" ht="12.75">
      <c r="A82" s="234"/>
      <c r="B82" s="117" t="s">
        <v>5</v>
      </c>
      <c r="C82" s="117" t="s">
        <v>5</v>
      </c>
      <c r="D82" s="117" t="s">
        <v>72</v>
      </c>
      <c r="E82" s="117" t="s">
        <v>72</v>
      </c>
      <c r="F82" s="117" t="s">
        <v>9</v>
      </c>
      <c r="G82" s="117" t="s">
        <v>74</v>
      </c>
    </row>
    <row r="83" spans="1:7" ht="12.75">
      <c r="A83" s="254">
        <v>2004</v>
      </c>
      <c r="B83" s="207">
        <v>2220091</v>
      </c>
      <c r="C83" s="237">
        <f>0.7167*B83/1000</f>
        <v>1591.1392197</v>
      </c>
      <c r="D83" s="238">
        <v>0</v>
      </c>
      <c r="E83" s="238">
        <v>0</v>
      </c>
      <c r="F83" s="207">
        <f>B83</f>
        <v>2220091</v>
      </c>
      <c r="G83" s="237">
        <f>C83</f>
        <v>1591.1392197</v>
      </c>
    </row>
    <row r="84" spans="1:14" ht="12.75">
      <c r="A84" s="254">
        <v>2005</v>
      </c>
      <c r="B84" s="207">
        <v>2194690</v>
      </c>
      <c r="C84" s="237">
        <f>0.7167*B84/1000</f>
        <v>1572.9343230000002</v>
      </c>
      <c r="D84" s="238">
        <v>0</v>
      </c>
      <c r="E84" s="238">
        <v>0</v>
      </c>
      <c r="F84" s="207">
        <f>B84</f>
        <v>2194690</v>
      </c>
      <c r="G84" s="237">
        <f>C84</f>
        <v>1572.9343230000002</v>
      </c>
      <c r="K84"/>
      <c r="N84" s="64"/>
    </row>
    <row r="85" spans="1:14" ht="12.75">
      <c r="A85" s="235">
        <v>2006</v>
      </c>
      <c r="B85" s="236">
        <v>1591155</v>
      </c>
      <c r="C85" s="237">
        <f>0.7167*B85/1000</f>
        <v>1140.3807885</v>
      </c>
      <c r="D85" s="238">
        <v>0</v>
      </c>
      <c r="E85" s="238">
        <v>0</v>
      </c>
      <c r="F85" s="207">
        <f>B85+D85</f>
        <v>1591155</v>
      </c>
      <c r="G85" s="207">
        <f aca="true" t="shared" si="1" ref="F85:G91">C85+E85</f>
        <v>1140.3807885</v>
      </c>
      <c r="K85"/>
      <c r="N85" s="64"/>
    </row>
    <row r="86" spans="1:14" ht="12.75">
      <c r="A86" s="86">
        <v>2007</v>
      </c>
      <c r="B86" s="207">
        <v>2004468</v>
      </c>
      <c r="C86" s="207">
        <f aca="true" t="shared" si="2" ref="C86:C91">0.7167*B86/1000</f>
        <v>1436.6022156</v>
      </c>
      <c r="D86" s="207">
        <v>0</v>
      </c>
      <c r="E86" s="207">
        <f aca="true" t="shared" si="3" ref="E86:E91">0.7167*D86/1000</f>
        <v>0</v>
      </c>
      <c r="F86" s="207">
        <f>B86+D86</f>
        <v>2004468</v>
      </c>
      <c r="G86" s="207">
        <f t="shared" si="1"/>
        <v>1436.6022156</v>
      </c>
      <c r="K86"/>
      <c r="N86" s="64"/>
    </row>
    <row r="87" spans="1:14" ht="12.75">
      <c r="A87" s="86">
        <v>2008</v>
      </c>
      <c r="B87" s="207">
        <f>2*250*'General '!$D$42*0.9+1586013</f>
        <v>2774013</v>
      </c>
      <c r="C87" s="207">
        <f t="shared" si="2"/>
        <v>1988.1351171</v>
      </c>
      <c r="D87" s="207">
        <f>2*111*'General '!$D$42*0.9</f>
        <v>527472</v>
      </c>
      <c r="E87" s="207">
        <f t="shared" si="3"/>
        <v>378.0391824</v>
      </c>
      <c r="F87" s="207">
        <f t="shared" si="1"/>
        <v>3301485</v>
      </c>
      <c r="G87" s="207">
        <f t="shared" si="1"/>
        <v>2366.1742995</v>
      </c>
      <c r="K87"/>
      <c r="N87" s="64"/>
    </row>
    <row r="88" spans="1:14" ht="12.75">
      <c r="A88" s="86">
        <v>2009</v>
      </c>
      <c r="B88" s="207">
        <f>2*250*'General '!$D$42*0.9+1586013</f>
        <v>2774013</v>
      </c>
      <c r="C88" s="207">
        <f t="shared" si="2"/>
        <v>1988.1351171</v>
      </c>
      <c r="D88" s="207">
        <f>2*250*'General '!$D$42*0.9</f>
        <v>1188000</v>
      </c>
      <c r="E88" s="207">
        <f t="shared" si="3"/>
        <v>851.4395999999999</v>
      </c>
      <c r="F88" s="207">
        <f t="shared" si="1"/>
        <v>3962013</v>
      </c>
      <c r="G88" s="207">
        <f t="shared" si="1"/>
        <v>2839.5747171</v>
      </c>
      <c r="K88"/>
      <c r="N88" s="64"/>
    </row>
    <row r="89" spans="1:14" ht="12.75">
      <c r="A89" s="86">
        <v>2010</v>
      </c>
      <c r="B89" s="207">
        <f>2*250*'General '!$D$42*0.9+1586013</f>
        <v>2774013</v>
      </c>
      <c r="C89" s="207">
        <f t="shared" si="2"/>
        <v>1988.1351171</v>
      </c>
      <c r="D89" s="207">
        <f>2*250*'General '!$D$42*0.9</f>
        <v>1188000</v>
      </c>
      <c r="E89" s="207">
        <f t="shared" si="3"/>
        <v>851.4395999999999</v>
      </c>
      <c r="F89" s="207">
        <f t="shared" si="1"/>
        <v>3962013</v>
      </c>
      <c r="G89" s="207">
        <f t="shared" si="1"/>
        <v>2839.5747171</v>
      </c>
      <c r="K89"/>
      <c r="N89" s="64"/>
    </row>
    <row r="90" spans="1:14" ht="12.75">
      <c r="A90" s="86">
        <v>2011</v>
      </c>
      <c r="B90" s="207">
        <f>2*250*'General '!$D$42*0.9+1586013</f>
        <v>2774013</v>
      </c>
      <c r="C90" s="207">
        <f t="shared" si="2"/>
        <v>1988.1351171</v>
      </c>
      <c r="D90" s="207">
        <f>2*250*'General '!$D$42*0.9</f>
        <v>1188000</v>
      </c>
      <c r="E90" s="207">
        <f t="shared" si="3"/>
        <v>851.4395999999999</v>
      </c>
      <c r="F90" s="207">
        <f t="shared" si="1"/>
        <v>3962013</v>
      </c>
      <c r="G90" s="207">
        <f t="shared" si="1"/>
        <v>2839.5747171</v>
      </c>
      <c r="K90"/>
      <c r="N90" s="64"/>
    </row>
    <row r="91" spans="1:14" ht="13.5" thickBot="1">
      <c r="A91" s="59">
        <v>2012</v>
      </c>
      <c r="B91" s="207">
        <f>2*250*'General '!$D$42*0.9+1586013</f>
        <v>2774013</v>
      </c>
      <c r="C91" s="207">
        <f t="shared" si="2"/>
        <v>1988.1351171</v>
      </c>
      <c r="D91" s="207">
        <f>2*250*'General '!$D$42*0.9</f>
        <v>1188000</v>
      </c>
      <c r="E91" s="207">
        <f t="shared" si="3"/>
        <v>851.4395999999999</v>
      </c>
      <c r="F91" s="207">
        <f t="shared" si="1"/>
        <v>3962013</v>
      </c>
      <c r="G91" s="207">
        <f t="shared" si="1"/>
        <v>2839.5747171</v>
      </c>
      <c r="K91"/>
      <c r="N91" s="64"/>
    </row>
    <row r="92" spans="1:14" ht="13.5" thickBot="1">
      <c r="A92" s="69" t="s">
        <v>34</v>
      </c>
      <c r="B92" s="208">
        <f>SUM(B83:B91)</f>
        <v>21880469</v>
      </c>
      <c r="C92" s="208">
        <f>SUM(C85:C91)</f>
        <v>12517.658589600002</v>
      </c>
      <c r="D92" s="208">
        <f>SUM(D87:D91)</f>
        <v>5279472</v>
      </c>
      <c r="E92" s="208">
        <f>SUM(E86:E91)</f>
        <v>3783.7975823999996</v>
      </c>
      <c r="F92" s="208">
        <f>SUM(F83:F91)</f>
        <v>27159941</v>
      </c>
      <c r="G92" s="208">
        <f>SUM(G83:G91)</f>
        <v>19465.529714700002</v>
      </c>
      <c r="K92"/>
      <c r="N92" s="64"/>
    </row>
    <row r="96" ht="12.75">
      <c r="A96" t="s">
        <v>88</v>
      </c>
    </row>
    <row r="97" ht="13.5" thickBot="1"/>
    <row r="98" spans="1:3" ht="12.75">
      <c r="A98" s="342" t="s">
        <v>89</v>
      </c>
      <c r="B98" s="124" t="s">
        <v>44</v>
      </c>
      <c r="C98" s="41" t="s">
        <v>310</v>
      </c>
    </row>
    <row r="99" spans="1:3" ht="12.75">
      <c r="A99" s="340"/>
      <c r="B99" s="125" t="s">
        <v>74</v>
      </c>
      <c r="C99" s="41" t="s">
        <v>9</v>
      </c>
    </row>
    <row r="100" spans="1:3" ht="12.75">
      <c r="A100" s="51">
        <v>2006</v>
      </c>
      <c r="B100" s="62">
        <f>$N$12</f>
        <v>17646.2656017</v>
      </c>
      <c r="C100" s="62">
        <f>$N$11</f>
        <v>24621551</v>
      </c>
    </row>
    <row r="101" spans="1:5" ht="12.75">
      <c r="A101" s="51">
        <v>2007</v>
      </c>
      <c r="B101" s="62">
        <f>$B$21+$O$47</f>
        <v>41324.3285724</v>
      </c>
      <c r="C101" s="62">
        <f>$B$20+$O$46</f>
        <v>55575405</v>
      </c>
      <c r="D101" s="150" t="s">
        <v>307</v>
      </c>
      <c r="E101" s="150" t="s">
        <v>308</v>
      </c>
    </row>
    <row r="102" spans="1:5" ht="12.75">
      <c r="A102" s="51">
        <v>2008</v>
      </c>
      <c r="B102" s="62">
        <f>$E$21+$B$57</f>
        <v>21720.482208</v>
      </c>
      <c r="C102" s="62">
        <f>$E$20+$B$56</f>
        <v>28592640</v>
      </c>
      <c r="D102" s="13" t="e">
        <f>'CMM supply'!#REF!</f>
        <v>#REF!</v>
      </c>
      <c r="E102" s="13">
        <f>'CMM supply'!P13</f>
        <v>33360000</v>
      </c>
    </row>
    <row r="103" spans="1:5" ht="12.75">
      <c r="A103" s="51">
        <v>2009</v>
      </c>
      <c r="B103" s="62">
        <f>$B$29+$E$57</f>
        <v>36200.80368</v>
      </c>
      <c r="C103" s="62">
        <f>$B$28+$E$56</f>
        <v>47654400</v>
      </c>
      <c r="D103" s="13" t="e">
        <f>'CMM supply'!#REF!</f>
        <v>#REF!</v>
      </c>
      <c r="E103" s="13">
        <f>'CMM supply'!P14</f>
        <v>43200000</v>
      </c>
    </row>
    <row r="104" spans="1:5" ht="12.75">
      <c r="A104" s="51">
        <v>2010</v>
      </c>
      <c r="B104" s="62">
        <f>$E$29+$B$65</f>
        <v>36200.803680000005</v>
      </c>
      <c r="C104" s="62">
        <f>$E$28+$B$64</f>
        <v>47654400</v>
      </c>
      <c r="D104" s="13" t="e">
        <f>'CMM supply'!#REF!</f>
        <v>#REF!</v>
      </c>
      <c r="E104" s="13">
        <f>'CMM supply'!P15</f>
        <v>43200000</v>
      </c>
    </row>
    <row r="105" spans="1:5" ht="12.75">
      <c r="A105" s="51">
        <v>2011</v>
      </c>
      <c r="B105" s="62">
        <f>$B$37+$E$65</f>
        <v>57921.285888</v>
      </c>
      <c r="C105" s="62">
        <f>$B$36+$E$64</f>
        <v>76247040</v>
      </c>
      <c r="D105" s="13" t="e">
        <f>'CMM supply'!#REF!</f>
        <v>#REF!</v>
      </c>
      <c r="E105" s="13">
        <f>'CMM supply'!P16</f>
        <v>69600000</v>
      </c>
    </row>
    <row r="106" spans="1:5" ht="13.5" thickBot="1">
      <c r="A106" s="37">
        <v>2012</v>
      </c>
      <c r="B106" s="181">
        <f>$E$37+$B$73</f>
        <v>76021.68772799999</v>
      </c>
      <c r="C106" s="181">
        <f>$E$36+$B$72</f>
        <v>100074240</v>
      </c>
      <c r="D106" s="13" t="e">
        <f>'CMM supply'!#REF!</f>
        <v>#REF!</v>
      </c>
      <c r="E106" s="13">
        <f>'CMM supply'!P17</f>
        <v>96000000</v>
      </c>
    </row>
  </sheetData>
  <mergeCells count="2">
    <mergeCell ref="A98:A99"/>
    <mergeCell ref="D71:E7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5" sqref="B5"/>
    </sheetView>
  </sheetViews>
  <sheetFormatPr defaultColWidth="9.33203125" defaultRowHeight="12.75"/>
  <cols>
    <col min="1" max="1" width="28.83203125" style="169" customWidth="1"/>
    <col min="2" max="2" width="13.16015625" style="169" customWidth="1"/>
    <col min="3" max="16384" width="10.66015625" style="169" customWidth="1"/>
  </cols>
  <sheetData>
    <row r="1" ht="12.75">
      <c r="A1" s="168" t="s">
        <v>152</v>
      </c>
    </row>
    <row r="3" ht="12.75">
      <c r="A3" s="168" t="s">
        <v>153</v>
      </c>
    </row>
    <row r="4" spans="1:4" ht="12.75">
      <c r="A4" s="169" t="s">
        <v>147</v>
      </c>
      <c r="B4" s="169">
        <v>28.047</v>
      </c>
      <c r="C4" s="169" t="s">
        <v>154</v>
      </c>
      <c r="D4" s="169" t="s">
        <v>155</v>
      </c>
    </row>
    <row r="5" spans="1:4" ht="12.75">
      <c r="A5" s="169" t="s">
        <v>156</v>
      </c>
      <c r="B5" s="282">
        <v>0.8779</v>
      </c>
      <c r="C5" s="169" t="s">
        <v>6</v>
      </c>
      <c r="D5" s="169" t="s">
        <v>155</v>
      </c>
    </row>
    <row r="6" spans="1:3" ht="12.75">
      <c r="A6" s="169" t="s">
        <v>157</v>
      </c>
      <c r="B6" s="170">
        <f>B5/B4</f>
        <v>0.031301030413234926</v>
      </c>
      <c r="C6" s="169" t="s">
        <v>158</v>
      </c>
    </row>
    <row r="7" spans="1:3" ht="12.75">
      <c r="A7" s="169" t="s">
        <v>159</v>
      </c>
      <c r="B7" s="171">
        <f>1000*B6</f>
        <v>31.301030413234926</v>
      </c>
      <c r="C7" s="169" t="s">
        <v>7</v>
      </c>
    </row>
    <row r="9" ht="12.75">
      <c r="A9" s="168" t="s">
        <v>160</v>
      </c>
    </row>
    <row r="10" spans="1:4" ht="12.75">
      <c r="A10" s="172" t="s">
        <v>161</v>
      </c>
      <c r="B10" s="169">
        <f>15.3</f>
        <v>15.3</v>
      </c>
      <c r="C10" s="169" t="s">
        <v>7</v>
      </c>
      <c r="D10" s="231" t="s">
        <v>270</v>
      </c>
    </row>
    <row r="11" ht="12.75">
      <c r="A11" s="168"/>
    </row>
    <row r="12" ht="12.75">
      <c r="A12" s="168" t="s">
        <v>264</v>
      </c>
    </row>
    <row r="13" spans="1:3" ht="12.75">
      <c r="A13" s="173" t="s">
        <v>162</v>
      </c>
      <c r="B13" s="173" t="s">
        <v>163</v>
      </c>
      <c r="C13" s="231" t="s">
        <v>263</v>
      </c>
    </row>
    <row r="14" spans="1:2" ht="12.75">
      <c r="A14" s="169" t="s">
        <v>164</v>
      </c>
      <c r="B14" s="176">
        <v>0.8</v>
      </c>
    </row>
    <row r="15" spans="1:8" ht="12.75">
      <c r="A15" s="169" t="s">
        <v>165</v>
      </c>
      <c r="B15" s="174">
        <f>44/12*B7/B14/1000</f>
        <v>0.14346305606066004</v>
      </c>
      <c r="C15" s="169" t="s">
        <v>8</v>
      </c>
      <c r="D15" s="231" t="s">
        <v>267</v>
      </c>
      <c r="H15" s="214"/>
    </row>
    <row r="16" spans="1:2" ht="12.75">
      <c r="A16" s="173" t="s">
        <v>166</v>
      </c>
      <c r="B16" s="175" t="s">
        <v>167</v>
      </c>
    </row>
    <row r="17" spans="1:2" ht="12.75">
      <c r="A17" s="169" t="s">
        <v>168</v>
      </c>
      <c r="B17" s="176">
        <v>0.9</v>
      </c>
    </row>
    <row r="18" spans="1:4" ht="12.75">
      <c r="A18" s="169" t="s">
        <v>169</v>
      </c>
      <c r="B18" s="174">
        <f>ROUNDUP(44/12*B10/B17/1000,3)</f>
        <v>0.063</v>
      </c>
      <c r="C18" s="169" t="s">
        <v>8</v>
      </c>
      <c r="D18" s="231" t="s">
        <v>267</v>
      </c>
    </row>
    <row r="19" spans="1:2" s="173" customFormat="1" ht="12.75">
      <c r="A19" s="173" t="s">
        <v>170</v>
      </c>
      <c r="B19" s="173" t="s">
        <v>167</v>
      </c>
    </row>
    <row r="20" spans="1:2" ht="12.75">
      <c r="A20" s="169" t="s">
        <v>171</v>
      </c>
      <c r="B20" s="176">
        <v>0.9</v>
      </c>
    </row>
    <row r="21" spans="1:4" ht="12.75">
      <c r="A21" s="169" t="s">
        <v>172</v>
      </c>
      <c r="B21" s="169">
        <f>ROUNDUP(44/12*B10/B20/1000,3)</f>
        <v>0.063</v>
      </c>
      <c r="C21" s="169" t="s">
        <v>8</v>
      </c>
      <c r="D21" s="231" t="s">
        <v>267</v>
      </c>
    </row>
    <row r="22" spans="1:3" ht="12.75">
      <c r="A22" s="173" t="s">
        <v>173</v>
      </c>
      <c r="B22" s="173" t="s">
        <v>167</v>
      </c>
      <c r="C22" s="231" t="s">
        <v>266</v>
      </c>
    </row>
    <row r="23" spans="1:3" ht="12.75">
      <c r="A23" s="169" t="s">
        <v>174</v>
      </c>
      <c r="B23" s="176">
        <v>0.9</v>
      </c>
      <c r="C23" s="231" t="s">
        <v>265</v>
      </c>
    </row>
    <row r="24" spans="1:4" ht="12.75">
      <c r="A24" s="169" t="s">
        <v>175</v>
      </c>
      <c r="B24" s="177">
        <f>ROUNDUP(44/12*B10/B23/1000,3)</f>
        <v>0.063</v>
      </c>
      <c r="C24" s="169" t="s">
        <v>8</v>
      </c>
      <c r="D24" s="231" t="s">
        <v>268</v>
      </c>
    </row>
    <row r="26" ht="12.75">
      <c r="A26" s="168" t="s">
        <v>176</v>
      </c>
    </row>
    <row r="27" spans="1:2" ht="12.75">
      <c r="A27" s="173" t="s">
        <v>177</v>
      </c>
      <c r="B27" s="231" t="s">
        <v>254</v>
      </c>
    </row>
    <row r="28" spans="1:3" ht="12.75">
      <c r="A28" s="172" t="s">
        <v>262</v>
      </c>
      <c r="B28" s="231">
        <v>18.9</v>
      </c>
      <c r="C28" s="231" t="s">
        <v>7</v>
      </c>
    </row>
    <row r="29" spans="1:3" ht="12.75">
      <c r="A29" s="169" t="s">
        <v>178</v>
      </c>
      <c r="B29" s="231">
        <v>20.2</v>
      </c>
      <c r="C29" s="231" t="s">
        <v>7</v>
      </c>
    </row>
    <row r="30" spans="1:3" ht="12.75">
      <c r="A30" s="231" t="s">
        <v>255</v>
      </c>
      <c r="B30" s="169">
        <f>(B28+B29)/2</f>
        <v>19.549999999999997</v>
      </c>
      <c r="C30" s="169" t="s">
        <v>7</v>
      </c>
    </row>
    <row r="31" spans="1:3" ht="12.75">
      <c r="A31" s="169" t="s">
        <v>146</v>
      </c>
      <c r="B31" s="176">
        <v>1</v>
      </c>
      <c r="C31" s="169" t="s">
        <v>179</v>
      </c>
    </row>
    <row r="32" spans="1:4" ht="12.75">
      <c r="A32" s="169" t="s">
        <v>180</v>
      </c>
      <c r="B32" s="169">
        <f>ROUNDUP(44/12*B30/B31/1000,3)</f>
        <v>0.072</v>
      </c>
      <c r="C32" s="169" t="s">
        <v>8</v>
      </c>
      <c r="D32" s="231" t="s">
        <v>267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C13" sqref="C13"/>
    </sheetView>
  </sheetViews>
  <sheetFormatPr defaultColWidth="9.33203125" defaultRowHeight="12.75"/>
  <cols>
    <col min="1" max="1" width="14.5" style="0" customWidth="1"/>
    <col min="2" max="2" width="13.16015625" style="0" customWidth="1"/>
    <col min="3" max="3" width="20.16015625" style="0" customWidth="1"/>
    <col min="4" max="4" width="16.16015625" style="0" customWidth="1"/>
  </cols>
  <sheetData>
    <row r="1" ht="14.25">
      <c r="A1" s="8" t="s">
        <v>219</v>
      </c>
    </row>
    <row r="2" spans="2:3" ht="12.75">
      <c r="B2" s="41" t="s">
        <v>216</v>
      </c>
      <c r="C2" s="21" t="s">
        <v>250</v>
      </c>
    </row>
    <row r="3" spans="1:7" ht="15">
      <c r="A3" s="150" t="s">
        <v>249</v>
      </c>
      <c r="B3" s="13">
        <v>34047</v>
      </c>
      <c r="C3" s="13"/>
      <c r="D3" s="13"/>
      <c r="E3" s="14">
        <f>8129*4.1868</f>
        <v>34034.4972</v>
      </c>
      <c r="F3" s="12" t="s">
        <v>123</v>
      </c>
      <c r="G3" s="141" t="s">
        <v>121</v>
      </c>
    </row>
    <row r="4" spans="1:4" ht="12.75">
      <c r="A4">
        <v>2007</v>
      </c>
      <c r="B4" s="13">
        <v>139575</v>
      </c>
      <c r="C4" s="13"/>
      <c r="D4" s="13"/>
    </row>
    <row r="5" spans="1:4" ht="12.75">
      <c r="A5">
        <v>2008</v>
      </c>
      <c r="B5" s="13">
        <f>C5*4.1868</f>
        <v>93675.4632</v>
      </c>
      <c r="C5" s="13">
        <v>22374</v>
      </c>
      <c r="D5" s="13"/>
    </row>
    <row r="6" spans="1:4" ht="12.75">
      <c r="A6">
        <v>2009</v>
      </c>
      <c r="B6" s="13">
        <f>C6*4.1868</f>
        <v>93675.4632</v>
      </c>
      <c r="C6" s="13">
        <v>22374</v>
      </c>
      <c r="D6" s="13"/>
    </row>
    <row r="7" spans="1:4" ht="12.75">
      <c r="A7">
        <v>2010</v>
      </c>
      <c r="B7" s="13">
        <f>C7*4.1868</f>
        <v>93675.4632</v>
      </c>
      <c r="C7" s="13">
        <v>22374</v>
      </c>
      <c r="D7" s="13"/>
    </row>
    <row r="8" spans="1:4" ht="12.75">
      <c r="A8">
        <v>2011</v>
      </c>
      <c r="B8" s="13">
        <f>C8*4.1868</f>
        <v>93675.4632</v>
      </c>
      <c r="C8" s="13">
        <v>22374</v>
      </c>
      <c r="D8" s="13"/>
    </row>
    <row r="9" spans="1:11" ht="12.75">
      <c r="A9">
        <v>2012</v>
      </c>
      <c r="B9" s="13">
        <f>C9*4.1868</f>
        <v>93675.4632</v>
      </c>
      <c r="C9" s="13">
        <v>22374</v>
      </c>
      <c r="D9" s="13"/>
      <c r="K9" s="13"/>
    </row>
    <row r="10" spans="2:3" ht="12.75">
      <c r="B10" s="13">
        <f>SUM(B3:B9)</f>
        <v>641999.316</v>
      </c>
      <c r="C10" s="13">
        <f>SUM(C3:C9)</f>
        <v>111870</v>
      </c>
    </row>
    <row r="11" ht="14.25">
      <c r="A11" s="8" t="s">
        <v>218</v>
      </c>
    </row>
    <row r="12" spans="1:7" ht="15">
      <c r="A12">
        <v>2007</v>
      </c>
      <c r="B12" s="13">
        <f aca="true" t="shared" si="0" ref="B12:B17">C12*4.1868</f>
        <v>0</v>
      </c>
      <c r="C12" s="13">
        <v>0</v>
      </c>
      <c r="E12" s="272">
        <f>B12*0.4</f>
        <v>0</v>
      </c>
      <c r="F12" s="12" t="s">
        <v>123</v>
      </c>
      <c r="G12" s="141" t="s">
        <v>121</v>
      </c>
    </row>
    <row r="13" spans="1:4" ht="12.75">
      <c r="A13">
        <v>2008</v>
      </c>
      <c r="B13" s="13">
        <f t="shared" si="0"/>
        <v>0</v>
      </c>
      <c r="C13" s="13">
        <v>0</v>
      </c>
      <c r="D13" s="13"/>
    </row>
    <row r="14" spans="1:3" ht="12.75">
      <c r="A14">
        <v>2009</v>
      </c>
      <c r="B14" s="13">
        <f t="shared" si="0"/>
        <v>294746.5332</v>
      </c>
      <c r="C14" s="13">
        <v>70399</v>
      </c>
    </row>
    <row r="15" spans="1:3" ht="12.75">
      <c r="A15">
        <v>2010</v>
      </c>
      <c r="B15" s="13">
        <f t="shared" si="0"/>
        <v>294746.5332</v>
      </c>
      <c r="C15" s="13">
        <v>70399</v>
      </c>
    </row>
    <row r="16" spans="1:3" ht="12.75">
      <c r="A16">
        <v>2011</v>
      </c>
      <c r="B16" s="13">
        <f t="shared" si="0"/>
        <v>294746.5332</v>
      </c>
      <c r="C16" s="13">
        <v>70399</v>
      </c>
    </row>
    <row r="17" spans="1:3" ht="12.75">
      <c r="A17">
        <v>2012</v>
      </c>
      <c r="B17" s="13">
        <f t="shared" si="0"/>
        <v>294746.5332</v>
      </c>
      <c r="C17" s="13">
        <v>70399</v>
      </c>
    </row>
    <row r="18" spans="2:3" ht="12.75">
      <c r="B18" s="13">
        <f>SUM(B13:B17)</f>
        <v>1178986.1328</v>
      </c>
      <c r="C18" s="13">
        <f>SUM(C13:C17)</f>
        <v>281596</v>
      </c>
    </row>
    <row r="19" ht="14.25">
      <c r="A19" s="8" t="s">
        <v>217</v>
      </c>
    </row>
    <row r="20" spans="2:5" ht="12.75">
      <c r="B20" t="s">
        <v>216</v>
      </c>
      <c r="C20" t="s">
        <v>250</v>
      </c>
      <c r="D20" s="41" t="s">
        <v>221</v>
      </c>
      <c r="E20" s="41" t="s">
        <v>216</v>
      </c>
    </row>
    <row r="21" spans="1:5" ht="12.75">
      <c r="A21">
        <v>2007</v>
      </c>
      <c r="B21" s="13">
        <f aca="true" t="shared" si="1" ref="B21:B26">4.1868*C21</f>
        <v>0</v>
      </c>
      <c r="C21" s="13">
        <v>0</v>
      </c>
      <c r="D21" s="13">
        <f>C21/12</f>
        <v>0</v>
      </c>
      <c r="E21" s="13">
        <f>B21/12</f>
        <v>0</v>
      </c>
    </row>
    <row r="22" spans="1:4" ht="12.75">
      <c r="A22">
        <v>2008</v>
      </c>
      <c r="B22" s="13">
        <f t="shared" si="1"/>
        <v>0</v>
      </c>
      <c r="C22" s="13">
        <v>0</v>
      </c>
      <c r="D22" s="13"/>
    </row>
    <row r="23" spans="1:3" ht="12.75">
      <c r="A23">
        <v>2009</v>
      </c>
      <c r="B23" s="13">
        <f t="shared" si="1"/>
        <v>82320.8616</v>
      </c>
      <c r="C23" s="13">
        <v>19662</v>
      </c>
    </row>
    <row r="24" spans="1:3" ht="12.75">
      <c r="A24">
        <v>2010</v>
      </c>
      <c r="B24" s="13">
        <f t="shared" si="1"/>
        <v>82320.8616</v>
      </c>
      <c r="C24" s="13">
        <v>19662</v>
      </c>
    </row>
    <row r="25" spans="1:3" ht="12.75">
      <c r="A25">
        <v>2011</v>
      </c>
      <c r="B25" s="13">
        <f t="shared" si="1"/>
        <v>82320.8616</v>
      </c>
      <c r="C25" s="13">
        <v>19662</v>
      </c>
    </row>
    <row r="26" spans="1:3" ht="12.75">
      <c r="A26">
        <v>2012</v>
      </c>
      <c r="B26" s="13">
        <f t="shared" si="1"/>
        <v>82320.8616</v>
      </c>
      <c r="C26" s="13">
        <v>19662</v>
      </c>
    </row>
    <row r="27" spans="2:3" ht="12.75">
      <c r="B27" s="13">
        <f>SUM(B21:B26)</f>
        <v>329283.4464</v>
      </c>
      <c r="C27" s="13">
        <f>SUM(C21:C26)</f>
        <v>78648</v>
      </c>
    </row>
    <row r="28" ht="12.75">
      <c r="A28" s="7" t="s">
        <v>220</v>
      </c>
    </row>
    <row r="29" spans="2:5" ht="12.75">
      <c r="B29" t="s">
        <v>216</v>
      </c>
      <c r="C29" t="s">
        <v>250</v>
      </c>
      <c r="E29" t="s">
        <v>216</v>
      </c>
    </row>
    <row r="30" spans="1:7" ht="12.75">
      <c r="A30">
        <v>2008</v>
      </c>
      <c r="B30" s="13">
        <f>C30*4.1868</f>
        <v>0</v>
      </c>
      <c r="C30" s="13">
        <v>0</v>
      </c>
      <c r="E30" s="13">
        <v>340739</v>
      </c>
      <c r="F30" s="268" t="s">
        <v>253</v>
      </c>
      <c r="G30" s="268"/>
    </row>
    <row r="31" spans="1:3" ht="12.75">
      <c r="A31">
        <v>2009</v>
      </c>
      <c r="B31" s="13">
        <f>C31*4.1868</f>
        <v>0</v>
      </c>
      <c r="C31" s="13">
        <v>0</v>
      </c>
    </row>
    <row r="32" spans="1:3" ht="12.75">
      <c r="A32">
        <v>2010</v>
      </c>
      <c r="B32" s="13">
        <f>C32*4.1868</f>
        <v>681477.8997600001</v>
      </c>
      <c r="C32" s="13">
        <v>162768.2</v>
      </c>
    </row>
    <row r="33" spans="1:3" ht="12.75">
      <c r="A33">
        <v>2011</v>
      </c>
      <c r="B33" s="13">
        <f>C33*4.1868</f>
        <v>681477.8997600001</v>
      </c>
      <c r="C33" s="13">
        <v>162768.2</v>
      </c>
    </row>
    <row r="34" spans="1:3" ht="12.75">
      <c r="A34">
        <v>2012</v>
      </c>
      <c r="B34" s="13">
        <f>C34*4.1868</f>
        <v>681477.8997600001</v>
      </c>
      <c r="C34" s="13">
        <v>162768.2</v>
      </c>
    </row>
    <row r="35" spans="2:3" ht="12.75">
      <c r="B35" s="13">
        <f>SUM(B30:B34)</f>
        <v>2044433.6992800003</v>
      </c>
      <c r="C35" s="13">
        <f>SUM(C30:C34)</f>
        <v>488304.60000000003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71">
      <selection activeCell="I82" sqref="I82"/>
    </sheetView>
  </sheetViews>
  <sheetFormatPr defaultColWidth="9.33203125" defaultRowHeight="12.75"/>
  <cols>
    <col min="2" max="3" width="12.5" style="0" customWidth="1"/>
    <col min="4" max="4" width="13" style="0" customWidth="1"/>
    <col min="5" max="5" width="22.5" style="0" customWidth="1"/>
    <col min="6" max="6" width="10" style="0" customWidth="1"/>
  </cols>
  <sheetData>
    <row r="1" ht="18.75">
      <c r="A1" s="216" t="s">
        <v>196</v>
      </c>
    </row>
    <row r="3" ht="12.75">
      <c r="A3" t="s">
        <v>70</v>
      </c>
    </row>
    <row r="8" spans="1:2" ht="15" customHeight="1">
      <c r="A8" s="110" t="s">
        <v>64</v>
      </c>
      <c r="B8" s="110"/>
    </row>
    <row r="9" spans="1:5" ht="15" customHeight="1">
      <c r="A9" s="111"/>
      <c r="B9" s="344" t="s">
        <v>67</v>
      </c>
      <c r="C9" s="344"/>
      <c r="D9" s="344"/>
      <c r="E9" s="112" t="s">
        <v>65</v>
      </c>
    </row>
    <row r="10" spans="1:5" ht="15" customHeight="1">
      <c r="A10" s="111"/>
      <c r="B10" s="344" t="s">
        <v>69</v>
      </c>
      <c r="C10" s="344"/>
      <c r="D10" s="344"/>
      <c r="E10" s="112" t="s">
        <v>66</v>
      </c>
    </row>
    <row r="11" spans="1:5" ht="15" customHeight="1">
      <c r="A11" s="111"/>
      <c r="B11" s="344" t="s">
        <v>68</v>
      </c>
      <c r="C11" s="344"/>
      <c r="D11" s="344"/>
      <c r="E11" s="112" t="s">
        <v>66</v>
      </c>
    </row>
    <row r="15" ht="14.25">
      <c r="A15" s="8" t="s">
        <v>76</v>
      </c>
    </row>
    <row r="16" spans="1:10" ht="36" customHeight="1">
      <c r="A16" s="344" t="s">
        <v>77</v>
      </c>
      <c r="B16" s="344"/>
      <c r="C16" s="344"/>
      <c r="D16" s="344"/>
      <c r="E16" s="344"/>
      <c r="F16" s="344"/>
      <c r="G16" s="344"/>
      <c r="H16" s="344"/>
      <c r="I16" s="344"/>
      <c r="J16" s="344"/>
    </row>
    <row r="19" ht="14.25" customHeight="1"/>
    <row r="20" spans="1:2" ht="14.25">
      <c r="A20" s="8" t="s">
        <v>79</v>
      </c>
      <c r="B20" s="9"/>
    </row>
    <row r="21" spans="1:2" ht="15">
      <c r="A21" s="109" t="s">
        <v>80</v>
      </c>
      <c r="B21" s="9"/>
    </row>
    <row r="22" spans="1:2" ht="15.75">
      <c r="A22" s="118" t="s">
        <v>81</v>
      </c>
      <c r="B22" s="9"/>
    </row>
    <row r="23" spans="1:2" ht="15.75">
      <c r="A23" s="9"/>
      <c r="B23" s="118"/>
    </row>
    <row r="24" spans="1:2" ht="14.25">
      <c r="A24" s="8"/>
      <c r="B24" s="9"/>
    </row>
    <row r="25" spans="1:2" ht="15">
      <c r="A25" s="42" t="s">
        <v>87</v>
      </c>
      <c r="B25" s="119"/>
    </row>
    <row r="26" spans="1:2" ht="16.5">
      <c r="A26" s="120"/>
      <c r="B26" s="121"/>
    </row>
    <row r="27" spans="2:9" ht="15">
      <c r="B27" s="123" t="s">
        <v>83</v>
      </c>
      <c r="C27" s="121"/>
      <c r="D27" s="121"/>
      <c r="E27" s="121"/>
      <c r="F27" s="121"/>
      <c r="G27" s="121"/>
      <c r="H27" s="121"/>
      <c r="I27" s="121"/>
    </row>
    <row r="28" spans="2:9" ht="15">
      <c r="B28" s="123" t="s">
        <v>84</v>
      </c>
      <c r="C28" s="121"/>
      <c r="D28" s="121"/>
      <c r="E28" s="121"/>
      <c r="F28" s="121"/>
      <c r="G28" s="121"/>
      <c r="H28" s="121"/>
      <c r="I28" s="121"/>
    </row>
    <row r="29" spans="1:2" ht="16.5">
      <c r="A29" s="122" t="s">
        <v>85</v>
      </c>
      <c r="B29" s="123" t="s">
        <v>86</v>
      </c>
    </row>
    <row r="31" ht="13.5" thickBot="1"/>
    <row r="32" spans="1:4" ht="15.75" customHeight="1">
      <c r="A32" s="54" t="s">
        <v>89</v>
      </c>
      <c r="B32" s="126"/>
      <c r="C32" s="3"/>
      <c r="D32" s="4"/>
    </row>
    <row r="33" spans="1:4" ht="12.75">
      <c r="A33" s="51">
        <v>2006</v>
      </c>
      <c r="B33" s="61">
        <f>'CMM consumption'!$B$100</f>
        <v>17646.2656017</v>
      </c>
      <c r="C33" s="25">
        <v>0.995</v>
      </c>
      <c r="D33" s="58">
        <f>$B$33*C33</f>
        <v>17558.0342736915</v>
      </c>
    </row>
    <row r="34" spans="1:4" ht="12.75">
      <c r="A34" s="51">
        <v>2007</v>
      </c>
      <c r="B34" s="61">
        <f>'CMM consumption'!$B$101</f>
        <v>41324.3285724</v>
      </c>
      <c r="C34" s="25">
        <v>0.995</v>
      </c>
      <c r="D34" s="58">
        <f>$B$34*C34</f>
        <v>41117.706929538</v>
      </c>
    </row>
    <row r="35" spans="1:4" ht="12.75">
      <c r="A35" s="51">
        <v>2008</v>
      </c>
      <c r="B35" s="61">
        <f>'CMM consumption'!$B$102</f>
        <v>21720.482208</v>
      </c>
      <c r="C35" s="25">
        <v>0.995</v>
      </c>
      <c r="D35" s="58">
        <f>$B$35*C35</f>
        <v>21611.879796960002</v>
      </c>
    </row>
    <row r="36" spans="1:4" ht="12.75">
      <c r="A36" s="51">
        <v>2009</v>
      </c>
      <c r="B36" s="61">
        <f>'CMM consumption'!$B$103</f>
        <v>36200.80368</v>
      </c>
      <c r="C36" s="25">
        <v>0.995</v>
      </c>
      <c r="D36" s="58">
        <f>$B$36*C36</f>
        <v>36019.799661599995</v>
      </c>
    </row>
    <row r="37" spans="1:4" ht="12.75">
      <c r="A37" s="51">
        <v>2010</v>
      </c>
      <c r="B37" s="61">
        <f>'CMM consumption'!$B$104</f>
        <v>36200.803680000005</v>
      </c>
      <c r="C37" s="25">
        <v>0.995</v>
      </c>
      <c r="D37" s="58">
        <f>$B$37*C37</f>
        <v>36019.7996616</v>
      </c>
    </row>
    <row r="38" spans="1:4" ht="12.75">
      <c r="A38" s="51">
        <v>2011</v>
      </c>
      <c r="B38" s="61">
        <f>'CMM consumption'!$B$105</f>
        <v>57921.285888</v>
      </c>
      <c r="C38" s="25">
        <v>0.995</v>
      </c>
      <c r="D38" s="58">
        <f>$B$38*C38</f>
        <v>57631.67945856</v>
      </c>
    </row>
    <row r="39" spans="1:4" ht="12.75">
      <c r="A39" s="51">
        <v>2012</v>
      </c>
      <c r="B39" s="61">
        <f>'CMM consumption'!$B$106</f>
        <v>76021.68772799999</v>
      </c>
      <c r="C39" s="25">
        <v>0.995</v>
      </c>
      <c r="D39" s="58">
        <f>$B$39*C39</f>
        <v>75641.57928935999</v>
      </c>
    </row>
    <row r="40" spans="1:4" ht="12.75" hidden="1">
      <c r="A40" s="164"/>
      <c r="B40" s="319">
        <f>B35+B36+B37+B38+B39</f>
        <v>228065.06318399997</v>
      </c>
      <c r="C40" s="319">
        <v>0</v>
      </c>
      <c r="D40" s="62">
        <f>D35+D36+D37+D38+D39</f>
        <v>226924.73786807997</v>
      </c>
    </row>
    <row r="41" spans="1:4" ht="13.5" thickBot="1">
      <c r="A41" s="37"/>
      <c r="B41" s="180">
        <f>SUM(B33:B39)</f>
        <v>287035.6573581</v>
      </c>
      <c r="C41" s="27"/>
      <c r="D41" s="182">
        <f>SUM(D33:D39)</f>
        <v>285600.47907130944</v>
      </c>
    </row>
    <row r="42" ht="14.25">
      <c r="A42" s="10" t="s">
        <v>90</v>
      </c>
    </row>
    <row r="43" ht="15">
      <c r="A43" s="123" t="s">
        <v>91</v>
      </c>
    </row>
    <row r="46" ht="12.75">
      <c r="A46" t="s">
        <v>82</v>
      </c>
    </row>
    <row r="47" ht="15">
      <c r="B47" s="123" t="s">
        <v>92</v>
      </c>
    </row>
    <row r="48" ht="15">
      <c r="B48" s="123" t="s">
        <v>93</v>
      </c>
    </row>
    <row r="49" ht="15">
      <c r="B49" s="123" t="s">
        <v>94</v>
      </c>
    </row>
    <row r="50" ht="15">
      <c r="B50" s="123" t="s">
        <v>95</v>
      </c>
    </row>
    <row r="52" ht="15">
      <c r="A52" s="127" t="s">
        <v>85</v>
      </c>
    </row>
    <row r="53" ht="16.5">
      <c r="A53" s="128" t="s">
        <v>85</v>
      </c>
    </row>
    <row r="54" ht="13.5" thickBot="1">
      <c r="A54" t="s">
        <v>89</v>
      </c>
    </row>
    <row r="55" spans="1:4" ht="14.25" customHeight="1">
      <c r="A55" s="54">
        <v>2004</v>
      </c>
      <c r="B55" s="264">
        <f>'CMM consumption'!$G$83</f>
        <v>1591.1392197</v>
      </c>
      <c r="C55" s="3">
        <v>0.985</v>
      </c>
      <c r="D55" s="242">
        <f>$B$55*C55</f>
        <v>1567.2721314045</v>
      </c>
    </row>
    <row r="56" spans="1:4" ht="14.25" customHeight="1">
      <c r="A56" s="51">
        <v>2005</v>
      </c>
      <c r="B56" s="61">
        <f>'CMM consumption'!$G$84</f>
        <v>1572.9343230000002</v>
      </c>
      <c r="C56" s="155">
        <v>0.985</v>
      </c>
      <c r="D56" s="58">
        <f>$B$56*C56</f>
        <v>1549.3403081550002</v>
      </c>
    </row>
    <row r="57" spans="1:4" ht="16.5" customHeight="1">
      <c r="A57" s="261">
        <v>2006</v>
      </c>
      <c r="B57" s="262">
        <f>'CMM consumption'!$G$85</f>
        <v>1140.3807885</v>
      </c>
      <c r="C57" s="155">
        <v>0.985</v>
      </c>
      <c r="D57" s="263">
        <f>$B$57*C57</f>
        <v>1123.2750766725</v>
      </c>
    </row>
    <row r="58" spans="1:4" ht="12.75">
      <c r="A58" s="51">
        <v>2007</v>
      </c>
      <c r="B58" s="61">
        <f>'CMM consumption'!$G$86</f>
        <v>1436.6022156</v>
      </c>
      <c r="C58" s="25">
        <v>0.985</v>
      </c>
      <c r="D58" s="58">
        <f>$B$58*C58</f>
        <v>1415.0531823659999</v>
      </c>
    </row>
    <row r="59" spans="1:4" ht="12.75">
      <c r="A59" s="51">
        <v>2008</v>
      </c>
      <c r="B59" s="61">
        <f>'CMM consumption'!$G$87</f>
        <v>2366.1742995</v>
      </c>
      <c r="C59" s="25">
        <v>0.985</v>
      </c>
      <c r="D59" s="58">
        <f>$B$59*C59</f>
        <v>2330.6816850074997</v>
      </c>
    </row>
    <row r="60" spans="1:4" ht="12.75">
      <c r="A60" s="51">
        <v>2009</v>
      </c>
      <c r="B60" s="61">
        <f>'CMM consumption'!$G$88</f>
        <v>2839.5747171</v>
      </c>
      <c r="C60" s="25">
        <v>0.985</v>
      </c>
      <c r="D60" s="58">
        <f>$B$60*C60</f>
        <v>2796.9810963434998</v>
      </c>
    </row>
    <row r="61" spans="1:4" ht="12.75">
      <c r="A61" s="51">
        <v>2010</v>
      </c>
      <c r="B61" s="61">
        <f>'CMM consumption'!$G$88</f>
        <v>2839.5747171</v>
      </c>
      <c r="C61" s="25">
        <v>0.985</v>
      </c>
      <c r="D61" s="58">
        <f>$B$61*C61</f>
        <v>2796.9810963434998</v>
      </c>
    </row>
    <row r="62" spans="1:4" ht="12.75">
      <c r="A62" s="51">
        <v>2011</v>
      </c>
      <c r="B62" s="61">
        <f>'CMM consumption'!$G$89</f>
        <v>2839.5747171</v>
      </c>
      <c r="C62" s="25">
        <v>0.985</v>
      </c>
      <c r="D62" s="58">
        <f>$B$62*C62</f>
        <v>2796.9810963434998</v>
      </c>
    </row>
    <row r="63" spans="1:4" ht="12.75">
      <c r="A63" s="51">
        <v>2012</v>
      </c>
      <c r="B63" s="61">
        <f>'CMM consumption'!$G$90</f>
        <v>2839.5747171</v>
      </c>
      <c r="C63" s="25">
        <v>0.985</v>
      </c>
      <c r="D63" s="58">
        <f>$B$63*C63</f>
        <v>2796.9810963434998</v>
      </c>
    </row>
    <row r="64" spans="1:4" ht="12.75" hidden="1">
      <c r="A64" s="164" t="s">
        <v>324</v>
      </c>
      <c r="B64" s="319">
        <f>B59+B60+B61+B62+B63</f>
        <v>13724.4731679</v>
      </c>
      <c r="C64" s="319"/>
      <c r="D64" s="319">
        <f>D59+D60+D61+D62+D63</f>
        <v>13518.606070381498</v>
      </c>
    </row>
    <row r="65" spans="1:4" ht="13.5" thickBot="1">
      <c r="A65" s="37"/>
      <c r="B65" s="180">
        <f>SUM(B55:B63)</f>
        <v>19465.529714700002</v>
      </c>
      <c r="C65" s="27"/>
      <c r="D65" s="182">
        <f>SUM(D57:D63)</f>
        <v>16056.934329419997</v>
      </c>
    </row>
    <row r="67" ht="13.5" thickBot="1"/>
    <row r="68" spans="1:5" ht="16.5">
      <c r="A68" s="265" t="s">
        <v>89</v>
      </c>
      <c r="B68" s="134" t="s">
        <v>78</v>
      </c>
      <c r="C68" s="129" t="s">
        <v>97</v>
      </c>
      <c r="D68" s="3"/>
      <c r="E68" s="4"/>
    </row>
    <row r="69" spans="1:5" ht="12.75">
      <c r="A69" s="51">
        <v>2004</v>
      </c>
      <c r="B69" s="15">
        <f>($D$69+$E$69)*C69</f>
        <v>4309.998361362375</v>
      </c>
      <c r="C69" s="52">
        <v>2.75</v>
      </c>
      <c r="D69" s="61">
        <f>$D$55</f>
        <v>1567.2721314045</v>
      </c>
      <c r="E69" s="266">
        <v>0</v>
      </c>
    </row>
    <row r="70" spans="1:5" ht="12.75">
      <c r="A70" s="51">
        <v>2005</v>
      </c>
      <c r="B70" s="15">
        <f>($D$70+$E$70)*C70</f>
        <v>4260.685847426251</v>
      </c>
      <c r="C70" s="52">
        <v>2.75</v>
      </c>
      <c r="D70" s="61">
        <f>$D$56</f>
        <v>1549.3403081550002</v>
      </c>
      <c r="E70" s="266">
        <v>0</v>
      </c>
    </row>
    <row r="71" spans="1:5" ht="12.75">
      <c r="A71" s="59">
        <v>2006</v>
      </c>
      <c r="B71" s="15">
        <f>($D$71+$E$71)*C71</f>
        <v>51373.600713501</v>
      </c>
      <c r="C71" s="52">
        <v>2.75</v>
      </c>
      <c r="D71" s="61">
        <f>$D$57</f>
        <v>1123.2750766725</v>
      </c>
      <c r="E71" s="62">
        <f>$D$33</f>
        <v>17558.0342736915</v>
      </c>
    </row>
    <row r="72" spans="1:5" ht="12.75">
      <c r="A72" s="59">
        <v>2007</v>
      </c>
      <c r="B72" s="15">
        <f>($D$72+$E$72)*C72</f>
        <v>116965.090307736</v>
      </c>
      <c r="C72" s="52">
        <v>2.75</v>
      </c>
      <c r="D72" s="61">
        <f>$D$58</f>
        <v>1415.0531823659999</v>
      </c>
      <c r="E72" s="62">
        <f>$D$34</f>
        <v>41117.706929538</v>
      </c>
    </row>
    <row r="73" spans="1:5" ht="12.75">
      <c r="A73" s="59">
        <v>2008</v>
      </c>
      <c r="B73" s="15">
        <f>($D$73+$E$73)*C73</f>
        <v>65842.04407541064</v>
      </c>
      <c r="C73" s="52">
        <v>2.75</v>
      </c>
      <c r="D73" s="61">
        <f>$D$59</f>
        <v>2330.6816850074997</v>
      </c>
      <c r="E73" s="62">
        <f>$D$35</f>
        <v>21611.879796960002</v>
      </c>
    </row>
    <row r="74" spans="1:5" ht="12.75">
      <c r="A74" s="59">
        <v>2009</v>
      </c>
      <c r="B74" s="15">
        <f>(D74+E74)*C74</f>
        <v>106746.14708434461</v>
      </c>
      <c r="C74" s="52">
        <v>2.75</v>
      </c>
      <c r="D74" s="61">
        <f>$D$60</f>
        <v>2796.9810963434998</v>
      </c>
      <c r="E74" s="62">
        <f>$D$36</f>
        <v>36019.799661599995</v>
      </c>
    </row>
    <row r="75" spans="1:5" ht="12.75">
      <c r="A75" s="59">
        <v>2010</v>
      </c>
      <c r="B75" s="15">
        <f>(D75+E75)*C75</f>
        <v>106746.14708434463</v>
      </c>
      <c r="C75" s="52">
        <v>2.75</v>
      </c>
      <c r="D75" s="61">
        <f>$D$61</f>
        <v>2796.9810963434998</v>
      </c>
      <c r="E75" s="62">
        <f>$D$37</f>
        <v>36019.7996616</v>
      </c>
    </row>
    <row r="76" spans="1:5" ht="12.75">
      <c r="A76" s="59">
        <v>2011</v>
      </c>
      <c r="B76" s="15">
        <f>(D76+E76)*C76</f>
        <v>166178.8165259846</v>
      </c>
      <c r="C76" s="52">
        <v>2.75</v>
      </c>
      <c r="D76" s="61">
        <f>$D$62</f>
        <v>2796.9810963434998</v>
      </c>
      <c r="E76" s="62">
        <f>$D$38</f>
        <v>57631.67945856</v>
      </c>
    </row>
    <row r="77" spans="1:5" ht="13.5" thickBot="1">
      <c r="A77" s="131">
        <v>2012</v>
      </c>
      <c r="B77" s="193">
        <f>(D77+E77)*C77</f>
        <v>215706.0410606846</v>
      </c>
      <c r="C77" s="130">
        <v>2.75</v>
      </c>
      <c r="D77" s="195">
        <f>$D$63</f>
        <v>2796.9810963434998</v>
      </c>
      <c r="E77" s="324">
        <f>$D$39</f>
        <v>75641.57928935999</v>
      </c>
    </row>
    <row r="78" spans="1:5" ht="14.25" hidden="1" thickBot="1" thickTop="1">
      <c r="A78" s="321" t="s">
        <v>323</v>
      </c>
      <c r="B78" s="322">
        <f>B73+B74+B75+B76+B77</f>
        <v>661219.1958307691</v>
      </c>
      <c r="C78" s="322"/>
      <c r="D78" s="322">
        <f>D73+D74+D75+D76+D77</f>
        <v>13518.606070381498</v>
      </c>
      <c r="E78" s="325">
        <f>E73+E74+E75+E76+E77</f>
        <v>226924.73786807997</v>
      </c>
    </row>
    <row r="79" spans="1:5" ht="14.25" thickBot="1" thickTop="1">
      <c r="A79" s="132"/>
      <c r="B79" s="194">
        <f>SUM(B69:B77)</f>
        <v>838128.5710607948</v>
      </c>
      <c r="C79" s="133"/>
      <c r="D79" s="196">
        <f>SUM(D69:D77)</f>
        <v>19173.546768979497</v>
      </c>
      <c r="E79" s="197">
        <f>SUM(E71:E77)</f>
        <v>285600.47907130944</v>
      </c>
    </row>
    <row r="82" ht="14.25">
      <c r="A82" s="8" t="s">
        <v>98</v>
      </c>
    </row>
    <row r="86" ht="13.5" thickBot="1"/>
    <row r="87" spans="1:6" ht="16.5">
      <c r="A87" s="135" t="s">
        <v>89</v>
      </c>
      <c r="B87" s="3"/>
      <c r="C87" s="3" t="s">
        <v>100</v>
      </c>
      <c r="D87" s="138" t="s">
        <v>102</v>
      </c>
      <c r="E87" s="3" t="s">
        <v>99</v>
      </c>
      <c r="F87" s="139" t="s">
        <v>101</v>
      </c>
    </row>
    <row r="88" spans="1:6" ht="12.75">
      <c r="A88" s="51">
        <v>2004</v>
      </c>
      <c r="B88" s="25">
        <v>0</v>
      </c>
      <c r="C88" s="25">
        <v>0</v>
      </c>
      <c r="D88" s="61">
        <f>$B$55</f>
        <v>1591.1392197</v>
      </c>
      <c r="E88" s="108">
        <v>0.015</v>
      </c>
      <c r="F88" s="58">
        <f>($B$88*C88+$D$88*E88)*21</f>
        <v>501.2088542055</v>
      </c>
    </row>
    <row r="89" spans="1:6" ht="14.25" customHeight="1">
      <c r="A89" s="51">
        <v>2005</v>
      </c>
      <c r="B89" s="25">
        <v>0</v>
      </c>
      <c r="C89" s="25">
        <v>0</v>
      </c>
      <c r="D89" s="61">
        <f>$B$56</f>
        <v>1572.9343230000002</v>
      </c>
      <c r="E89" s="108">
        <v>0.015</v>
      </c>
      <c r="F89" s="58">
        <f>($B$89*C89+$D$89*E89)*21</f>
        <v>495.474311745</v>
      </c>
    </row>
    <row r="90" spans="1:6" ht="12.75">
      <c r="A90" s="51">
        <v>2006</v>
      </c>
      <c r="B90" s="61">
        <f>'CMM consumption'!$B$100</f>
        <v>17646.2656017</v>
      </c>
      <c r="C90" s="108">
        <v>0.005</v>
      </c>
      <c r="D90" s="61">
        <f>$B$57</f>
        <v>1140.3807885</v>
      </c>
      <c r="E90" s="108">
        <v>0.015</v>
      </c>
      <c r="F90" s="58">
        <f>($B$90*C90+$D$90*E90)*21</f>
        <v>2212.077836556</v>
      </c>
    </row>
    <row r="91" spans="1:6" ht="12.75">
      <c r="A91" s="51">
        <v>2007</v>
      </c>
      <c r="B91" s="61">
        <f>'CMM consumption'!$B$101</f>
        <v>41324.3285724</v>
      </c>
      <c r="C91" s="108">
        <v>0.005</v>
      </c>
      <c r="D91" s="61">
        <f>$B$58</f>
        <v>1436.6022156</v>
      </c>
      <c r="E91" s="108">
        <v>0.015</v>
      </c>
      <c r="F91" s="58">
        <f>21*($B$91*C91+$D$91*E91)</f>
        <v>4791.584198016</v>
      </c>
    </row>
    <row r="92" spans="1:6" ht="12.75">
      <c r="A92" s="51">
        <v>2008</v>
      </c>
      <c r="B92" s="61">
        <f>'CMM consumption'!$B$102</f>
        <v>21720.482208</v>
      </c>
      <c r="C92" s="108">
        <v>0.005</v>
      </c>
      <c r="D92" s="61">
        <f>$B$59</f>
        <v>2366.1742995</v>
      </c>
      <c r="E92" s="108">
        <v>0.015</v>
      </c>
      <c r="F92" s="58">
        <f>($B$92*C92+$D$92*E92)*21</f>
        <v>3025.9955361825005</v>
      </c>
    </row>
    <row r="93" spans="1:6" ht="12.75">
      <c r="A93" s="51">
        <v>2009</v>
      </c>
      <c r="B93" s="61">
        <f>'CMM consumption'!$B$103</f>
        <v>36200.80368</v>
      </c>
      <c r="C93" s="108">
        <v>0.005</v>
      </c>
      <c r="D93" s="61">
        <f>$B$60</f>
        <v>2839.5747171</v>
      </c>
      <c r="E93" s="108">
        <v>0.015</v>
      </c>
      <c r="F93" s="58">
        <f>($B$93*C93+$D$93*E93)*21</f>
        <v>4695.550422286499</v>
      </c>
    </row>
    <row r="94" spans="1:6" ht="12.75">
      <c r="A94" s="51">
        <v>2010</v>
      </c>
      <c r="B94" s="61">
        <f>'CMM consumption'!$B$104</f>
        <v>36200.803680000005</v>
      </c>
      <c r="C94" s="108">
        <v>0.005</v>
      </c>
      <c r="D94" s="61">
        <f>$B$61</f>
        <v>2839.5747171</v>
      </c>
      <c r="E94" s="108">
        <v>0.015</v>
      </c>
      <c r="F94" s="58">
        <f>($B$94*C94+$D$94*E94)*21</f>
        <v>4695.550422286501</v>
      </c>
    </row>
    <row r="95" spans="1:6" ht="12.75">
      <c r="A95" s="51">
        <v>2011</v>
      </c>
      <c r="B95" s="61">
        <f>'CMM consumption'!$B$105</f>
        <v>57921.285888</v>
      </c>
      <c r="C95" s="108">
        <v>0.005</v>
      </c>
      <c r="D95" s="61">
        <f>$B$62</f>
        <v>2839.5747171</v>
      </c>
      <c r="E95" s="108">
        <v>0.015</v>
      </c>
      <c r="F95" s="58">
        <f>($B95*C95+$D$95*E95)*21</f>
        <v>6976.2010541265</v>
      </c>
    </row>
    <row r="96" spans="1:6" ht="13.5" thickBot="1">
      <c r="A96" s="136">
        <v>2012</v>
      </c>
      <c r="B96" s="195">
        <f>'CMM consumption'!$B$106</f>
        <v>76021.68772799999</v>
      </c>
      <c r="C96" s="137">
        <v>0.005</v>
      </c>
      <c r="D96" s="195">
        <f>$B$63</f>
        <v>2839.5747171</v>
      </c>
      <c r="E96" s="137">
        <v>0.015</v>
      </c>
      <c r="F96" s="229">
        <f>($B$96*C96+$D$96*E96)*21</f>
        <v>8876.7432473265</v>
      </c>
    </row>
    <row r="97" spans="1:6" ht="14.25" hidden="1" thickBot="1" thickTop="1">
      <c r="A97" s="326" t="s">
        <v>324</v>
      </c>
      <c r="B97" s="323">
        <f>B92+B93+B94+B95+B96</f>
        <v>228065.06318399997</v>
      </c>
      <c r="C97" s="323"/>
      <c r="D97" s="323">
        <f>D92+D93+D94+D95+D96</f>
        <v>13724.4731679</v>
      </c>
      <c r="E97" s="323"/>
      <c r="F97" s="323">
        <f>F92+F93+F94+F95+F96</f>
        <v>28270.040682208502</v>
      </c>
    </row>
    <row r="98" spans="1:6" ht="14.25" thickBot="1" thickTop="1">
      <c r="A98" s="132"/>
      <c r="B98" s="196">
        <f>SUM(B90:B96)</f>
        <v>287035.6573581</v>
      </c>
      <c r="C98" s="133"/>
      <c r="D98" s="196">
        <f>SUM(D88:D96)</f>
        <v>19465.529714700002</v>
      </c>
      <c r="E98" s="133"/>
      <c r="F98" s="230">
        <f>SUM(F88:F96)</f>
        <v>36270.385882731</v>
      </c>
    </row>
    <row r="101" ht="15.75">
      <c r="A101" s="219" t="s">
        <v>197</v>
      </c>
    </row>
    <row r="102" ht="12.75">
      <c r="N102" s="14"/>
    </row>
    <row r="103" ht="13.5" thickBot="1"/>
    <row r="104" spans="1:4" ht="16.5">
      <c r="A104" s="135" t="s">
        <v>89</v>
      </c>
      <c r="B104" s="134" t="s">
        <v>78</v>
      </c>
      <c r="C104" s="139" t="s">
        <v>101</v>
      </c>
      <c r="D104" s="140" t="s">
        <v>103</v>
      </c>
    </row>
    <row r="105" spans="1:4" ht="12.75">
      <c r="A105" s="51">
        <v>2004</v>
      </c>
      <c r="B105" s="61">
        <f>$B$69</f>
        <v>4309.998361362375</v>
      </c>
      <c r="C105" s="267">
        <f>$F$88</f>
        <v>501.2088542055</v>
      </c>
      <c r="D105" s="207">
        <f>B105+C105</f>
        <v>4811.207215567875</v>
      </c>
    </row>
    <row r="106" spans="1:4" ht="12.75">
      <c r="A106" s="51">
        <v>2005</v>
      </c>
      <c r="B106" s="61">
        <f>$B$70</f>
        <v>4260.685847426251</v>
      </c>
      <c r="C106" s="267">
        <f>$F$89</f>
        <v>495.474311745</v>
      </c>
      <c r="D106" s="207">
        <f>B106+C106</f>
        <v>4756.160159171251</v>
      </c>
    </row>
    <row r="107" spans="1:4" ht="12.75">
      <c r="A107" s="51">
        <v>2006</v>
      </c>
      <c r="B107" s="188">
        <f>$B$71</f>
        <v>51373.600713501</v>
      </c>
      <c r="C107" s="210">
        <f>$F$90</f>
        <v>2212.077836556</v>
      </c>
      <c r="D107" s="207">
        <f>B107+C107</f>
        <v>53585.678550057</v>
      </c>
    </row>
    <row r="108" spans="1:4" ht="12.75">
      <c r="A108" s="51">
        <v>2007</v>
      </c>
      <c r="B108" s="188">
        <f>$B$72</f>
        <v>116965.090307736</v>
      </c>
      <c r="C108" s="210">
        <f>$F$91</f>
        <v>4791.584198016</v>
      </c>
      <c r="D108" s="207">
        <f aca="true" t="shared" si="0" ref="D108:D113">B108+C108</f>
        <v>121756.674505752</v>
      </c>
    </row>
    <row r="109" spans="1:4" ht="12.75">
      <c r="A109" s="51">
        <v>2008</v>
      </c>
      <c r="B109" s="188">
        <f>$B$73</f>
        <v>65842.04407541064</v>
      </c>
      <c r="C109" s="210">
        <f>$F$92</f>
        <v>3025.9955361825005</v>
      </c>
      <c r="D109" s="207">
        <f t="shared" si="0"/>
        <v>68868.03961159314</v>
      </c>
    </row>
    <row r="110" spans="1:4" ht="12.75">
      <c r="A110" s="51">
        <v>2009</v>
      </c>
      <c r="B110" s="188">
        <f>$B$74</f>
        <v>106746.14708434461</v>
      </c>
      <c r="C110" s="210">
        <f>$F$93</f>
        <v>4695.550422286499</v>
      </c>
      <c r="D110" s="207">
        <f t="shared" si="0"/>
        <v>111441.69750663111</v>
      </c>
    </row>
    <row r="111" spans="1:4" ht="12.75">
      <c r="A111" s="51">
        <v>2010</v>
      </c>
      <c r="B111" s="188">
        <f>$B$75</f>
        <v>106746.14708434463</v>
      </c>
      <c r="C111" s="210">
        <f>$F$94</f>
        <v>4695.550422286501</v>
      </c>
      <c r="D111" s="207">
        <f t="shared" si="0"/>
        <v>111441.69750663113</v>
      </c>
    </row>
    <row r="112" spans="1:4" ht="12.75">
      <c r="A112" s="51">
        <v>2011</v>
      </c>
      <c r="B112" s="188">
        <f>$B$76</f>
        <v>166178.8165259846</v>
      </c>
      <c r="C112" s="210">
        <f>$F$95</f>
        <v>6976.2010541265</v>
      </c>
      <c r="D112" s="207">
        <f t="shared" si="0"/>
        <v>173155.0175801111</v>
      </c>
    </row>
    <row r="113" spans="1:4" ht="13.5" thickBot="1">
      <c r="A113" s="136">
        <v>2012</v>
      </c>
      <c r="B113" s="209">
        <f>$B$77</f>
        <v>215706.0410606846</v>
      </c>
      <c r="C113" s="211">
        <f>$F$96</f>
        <v>8876.7432473265</v>
      </c>
      <c r="D113" s="212">
        <f t="shared" si="0"/>
        <v>224582.7843080111</v>
      </c>
    </row>
    <row r="114" spans="1:4" ht="14.25" hidden="1" thickBot="1" thickTop="1">
      <c r="A114" s="326"/>
      <c r="B114" s="327">
        <f>B109+B110+B111+B112+B113</f>
        <v>661219.1958307691</v>
      </c>
      <c r="C114" s="327">
        <f>C109+C110+C111+C112+C113</f>
        <v>28270.040682208502</v>
      </c>
      <c r="D114" s="327">
        <f>D109+D110+D111+D112+D113</f>
        <v>689489.2365129776</v>
      </c>
    </row>
    <row r="115" spans="1:4" ht="14.25" thickBot="1" thickTop="1">
      <c r="A115" s="132"/>
      <c r="B115" s="133"/>
      <c r="C115" s="133"/>
      <c r="D115" s="197">
        <f>SUM(D105:D113)</f>
        <v>874398.9569435256</v>
      </c>
    </row>
  </sheetData>
  <mergeCells count="4">
    <mergeCell ref="B9:D9"/>
    <mergeCell ref="B10:D10"/>
    <mergeCell ref="B11:D11"/>
    <mergeCell ref="A16:J16"/>
  </mergeCells>
  <printOptions/>
  <pageMargins left="0.75" right="0.75" top="1" bottom="1" header="0.5" footer="0.5"/>
  <pageSetup horizontalDpi="600" verticalDpi="600" orientation="portrait" paperSize="9" scale="84" r:id="rId30"/>
  <legacyDrawing r:id="rId29"/>
  <oleObjects>
    <oleObject progId="Equation.3" shapeId="216849" r:id="rId1"/>
    <oleObject progId="Equation.3" shapeId="222479" r:id="rId2"/>
    <oleObject progId="Equation.3" shapeId="222480" r:id="rId3"/>
    <oleObject progId="Equation.3" shapeId="222481" r:id="rId4"/>
    <oleObject progId="Equation.3" shapeId="785308" r:id="rId5"/>
    <oleObject progId="Equation.3" shapeId="785310" r:id="rId6"/>
    <oleObject progId="Equation.3" shapeId="807053" r:id="rId7"/>
    <oleObject progId="Equation.3" shapeId="812033" r:id="rId8"/>
    <oleObject progId="Equation.3" shapeId="820984" r:id="rId9"/>
    <oleObject progId="Equation.3" shapeId="821958" r:id="rId10"/>
    <oleObject progId="Equation.3" shapeId="822990" r:id="rId11"/>
    <oleObject progId="Equation.3" shapeId="877256" r:id="rId12"/>
    <oleObject progId="Equation.3" shapeId="879457" r:id="rId13"/>
    <oleObject progId="Equation.3" shapeId="881289" r:id="rId14"/>
    <oleObject progId="Equation.3" shapeId="937884" r:id="rId15"/>
    <oleObject progId="Equation.3" shapeId="940040" r:id="rId16"/>
    <oleObject progId="Equation.3" shapeId="940964" r:id="rId17"/>
    <oleObject progId="Equation.3" shapeId="942000" r:id="rId18"/>
    <oleObject progId="Equation.3" shapeId="991500" r:id="rId19"/>
    <oleObject progId="Equation.3" shapeId="993117" r:id="rId20"/>
    <oleObject progId="Equation.3" shapeId="994826" r:id="rId21"/>
    <oleObject progId="Equation.3" shapeId="1579623" r:id="rId22"/>
    <oleObject progId="Equation.3" shapeId="1588540" r:id="rId23"/>
    <oleObject progId="Equation.3" shapeId="1652996" r:id="rId24"/>
    <oleObject progId="Equation.3" shapeId="1878062" r:id="rId25"/>
    <oleObject progId="Equation.3" shapeId="1880267" r:id="rId26"/>
    <oleObject progId="Equation.3" shapeId="1884687" r:id="rId27"/>
    <oleObject progId="Equation.3" shapeId="1946400" r:id="rId28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1">
      <selection activeCell="G31" sqref="G31"/>
    </sheetView>
  </sheetViews>
  <sheetFormatPr defaultColWidth="9.33203125" defaultRowHeight="12.75"/>
  <cols>
    <col min="1" max="1" width="12.16015625" style="0" customWidth="1"/>
    <col min="2" max="2" width="15.83203125" style="0" customWidth="1"/>
    <col min="3" max="3" width="14.66015625" style="0" customWidth="1"/>
    <col min="4" max="4" width="15.33203125" style="0" customWidth="1"/>
    <col min="5" max="5" width="16.16015625" style="0" customWidth="1"/>
    <col min="6" max="6" width="26.16015625" style="0" customWidth="1"/>
    <col min="7" max="7" width="16.83203125" style="0" customWidth="1"/>
    <col min="8" max="8" width="11.5" style="0" customWidth="1"/>
    <col min="9" max="9" width="15.5" style="0" customWidth="1"/>
    <col min="10" max="10" width="13" style="0" customWidth="1"/>
  </cols>
  <sheetData>
    <row r="1" ht="18.75">
      <c r="A1" s="216" t="s">
        <v>188</v>
      </c>
    </row>
    <row r="4" ht="12.75">
      <c r="A4" t="s">
        <v>70</v>
      </c>
    </row>
    <row r="9" spans="1:10" ht="16.5" customHeight="1">
      <c r="A9" s="12" t="s">
        <v>105</v>
      </c>
      <c r="B9" s="9" t="s">
        <v>108</v>
      </c>
      <c r="C9" s="9"/>
      <c r="J9" s="109" t="s">
        <v>109</v>
      </c>
    </row>
    <row r="10" spans="1:13" ht="12.75" customHeight="1">
      <c r="A10" s="12" t="s">
        <v>106</v>
      </c>
      <c r="B10" s="9" t="s">
        <v>110</v>
      </c>
      <c r="C10" s="9"/>
      <c r="J10" s="109" t="s">
        <v>109</v>
      </c>
      <c r="M10" s="109" t="s">
        <v>109</v>
      </c>
    </row>
    <row r="11" spans="1:13" ht="16.5">
      <c r="A11" s="12" t="s">
        <v>107</v>
      </c>
      <c r="B11" s="9" t="s">
        <v>111</v>
      </c>
      <c r="C11" s="9"/>
      <c r="J11" s="109" t="s">
        <v>109</v>
      </c>
      <c r="M11" s="109" t="s">
        <v>109</v>
      </c>
    </row>
    <row r="12" spans="1:13" ht="15">
      <c r="A12" s="217" t="s">
        <v>212</v>
      </c>
      <c r="B12" s="9"/>
      <c r="C12" s="9"/>
      <c r="J12" s="109"/>
      <c r="M12" s="109"/>
    </row>
    <row r="14" s="215" customFormat="1" ht="12.75"/>
    <row r="15" s="215" customFormat="1" ht="15" thickBot="1">
      <c r="A15" s="217"/>
    </row>
    <row r="16" spans="1:5" ht="16.5">
      <c r="A16" s="255" t="s">
        <v>89</v>
      </c>
      <c r="B16" s="256"/>
      <c r="C16" s="158" t="s">
        <v>112</v>
      </c>
      <c r="D16" s="158" t="s">
        <v>113</v>
      </c>
      <c r="E16" s="160" t="s">
        <v>106</v>
      </c>
    </row>
    <row r="17" spans="1:5" ht="15">
      <c r="A17" s="257"/>
      <c r="B17" s="258"/>
      <c r="C17" s="159" t="s">
        <v>74</v>
      </c>
      <c r="D17" s="159" t="s">
        <v>74</v>
      </c>
      <c r="E17" s="161" t="s">
        <v>109</v>
      </c>
    </row>
    <row r="18" spans="1:5" ht="12.75">
      <c r="A18" s="51">
        <v>2004</v>
      </c>
      <c r="B18" s="25">
        <v>21</v>
      </c>
      <c r="C18" s="25">
        <v>0</v>
      </c>
      <c r="D18" s="259">
        <f>'CMM consumption'!$G$83</f>
        <v>1591.1392197</v>
      </c>
      <c r="E18" s="58">
        <f>D18*B18</f>
        <v>33413.9236137</v>
      </c>
    </row>
    <row r="19" spans="1:5" ht="12.75">
      <c r="A19" s="51">
        <v>2005</v>
      </c>
      <c r="B19" s="25">
        <v>21</v>
      </c>
      <c r="C19" s="25">
        <v>0</v>
      </c>
      <c r="D19" s="259">
        <f>'CMM consumption'!$G$84</f>
        <v>1572.9343230000002</v>
      </c>
      <c r="E19" s="58">
        <f>B19*D19</f>
        <v>33031.620783000006</v>
      </c>
    </row>
    <row r="20" spans="1:5" ht="12.75">
      <c r="A20" s="51">
        <v>2006</v>
      </c>
      <c r="B20" s="25">
        <v>21</v>
      </c>
      <c r="C20" s="61">
        <f>'CMM consumption'!$B$100</f>
        <v>17646.2656017</v>
      </c>
      <c r="D20" s="61">
        <f>'CMM consumption'!$G$85</f>
        <v>1140.3807885</v>
      </c>
      <c r="E20" s="58">
        <f>B20*(C20+D20)</f>
        <v>394519.5741942</v>
      </c>
    </row>
    <row r="21" spans="1:5" ht="12.75">
      <c r="A21" s="51">
        <v>2007</v>
      </c>
      <c r="B21" s="25">
        <v>21</v>
      </c>
      <c r="C21" s="61">
        <f>'CMM consumption'!$B$101</f>
        <v>41324.3285724</v>
      </c>
      <c r="D21" s="61">
        <f>'CMM consumption'!$G$86</f>
        <v>1436.6022156</v>
      </c>
      <c r="E21" s="58">
        <f aca="true" t="shared" si="0" ref="E21:E26">B21*(C21+D21)</f>
        <v>897979.546548</v>
      </c>
    </row>
    <row r="22" spans="1:5" ht="12.75">
      <c r="A22" s="51">
        <v>2008</v>
      </c>
      <c r="B22" s="25">
        <v>21</v>
      </c>
      <c r="C22" s="61">
        <f>'CMM consumption'!$B$102</f>
        <v>21720.482208</v>
      </c>
      <c r="D22" s="61">
        <f>'CMM consumption'!$G$87</f>
        <v>2366.1742995</v>
      </c>
      <c r="E22" s="58">
        <f t="shared" si="0"/>
        <v>505819.7866575</v>
      </c>
    </row>
    <row r="23" spans="1:5" ht="12.75">
      <c r="A23" s="51">
        <v>2009</v>
      </c>
      <c r="B23" s="25">
        <v>21</v>
      </c>
      <c r="C23" s="61">
        <f>'CMM consumption'!$B$103</f>
        <v>36200.80368</v>
      </c>
      <c r="D23" s="61">
        <f>'CMM consumption'!$G$88</f>
        <v>2839.5747171</v>
      </c>
      <c r="E23" s="58">
        <f t="shared" si="0"/>
        <v>819847.9463390999</v>
      </c>
    </row>
    <row r="24" spans="1:5" ht="12.75">
      <c r="A24" s="51">
        <v>2010</v>
      </c>
      <c r="B24" s="25">
        <v>21</v>
      </c>
      <c r="C24" s="61">
        <f>'CMM consumption'!$B$104</f>
        <v>36200.803680000005</v>
      </c>
      <c r="D24" s="61">
        <f>'CMM consumption'!$G$89</f>
        <v>2839.5747171</v>
      </c>
      <c r="E24" s="58">
        <f t="shared" si="0"/>
        <v>819847.9463391</v>
      </c>
    </row>
    <row r="25" spans="1:5" ht="12.75">
      <c r="A25" s="51">
        <v>2011</v>
      </c>
      <c r="B25" s="25">
        <v>21</v>
      </c>
      <c r="C25" s="61">
        <f>'CMM consumption'!$B$105</f>
        <v>57921.285888</v>
      </c>
      <c r="D25" s="61">
        <f>'CMM consumption'!$G$90</f>
        <v>2839.5747171</v>
      </c>
      <c r="E25" s="58">
        <f t="shared" si="0"/>
        <v>1275978.0727070998</v>
      </c>
    </row>
    <row r="26" spans="1:5" ht="12.75">
      <c r="A26" s="51">
        <v>2012</v>
      </c>
      <c r="B26" s="25">
        <v>21</v>
      </c>
      <c r="C26" s="61">
        <f>'CMM consumption'!$B$106</f>
        <v>76021.68772799999</v>
      </c>
      <c r="D26" s="61">
        <f>'CMM consumption'!$G$91</f>
        <v>2839.5747171</v>
      </c>
      <c r="E26" s="58">
        <f t="shared" si="0"/>
        <v>1656086.5113470997</v>
      </c>
    </row>
    <row r="27" spans="1:5" ht="12.75" hidden="1">
      <c r="A27" s="328" t="s">
        <v>324</v>
      </c>
      <c r="B27" s="320"/>
      <c r="C27" s="319">
        <f>C22+C23+C24+C25+C26</f>
        <v>228065.06318399997</v>
      </c>
      <c r="D27" s="319">
        <f>D22+D23+D24+D25+D26</f>
        <v>13724.4731679</v>
      </c>
      <c r="E27" s="319">
        <f>E22+E23+E24+E25+E26</f>
        <v>5077580.263389899</v>
      </c>
    </row>
    <row r="28" spans="1:5" ht="13.5" thickBot="1">
      <c r="A28" s="153" t="s">
        <v>36</v>
      </c>
      <c r="B28" s="27"/>
      <c r="C28" s="180">
        <f>SUM(C20:C26)</f>
        <v>287035.6573581</v>
      </c>
      <c r="D28" s="180">
        <f>SUM(D18:D26)</f>
        <v>19465.529714700002</v>
      </c>
      <c r="E28" s="182">
        <f>SUM(E18:E26)</f>
        <v>6436524.928528801</v>
      </c>
    </row>
    <row r="29" spans="1:5" ht="12.75">
      <c r="A29" s="75"/>
      <c r="B29" s="28"/>
      <c r="C29" s="57"/>
      <c r="D29" s="57"/>
      <c r="E29" s="63"/>
    </row>
    <row r="30" spans="1:5" ht="15.75">
      <c r="A30" s="218" t="s">
        <v>189</v>
      </c>
      <c r="B30" s="28"/>
      <c r="C30" s="57"/>
      <c r="D30" s="57"/>
      <c r="E30" s="63"/>
    </row>
    <row r="32" ht="12.75">
      <c r="B32" s="41" t="s">
        <v>96</v>
      </c>
    </row>
    <row r="34" ht="12.75">
      <c r="A34" s="9" t="s">
        <v>181</v>
      </c>
    </row>
    <row r="36" ht="12.75">
      <c r="A36" s="9" t="s">
        <v>182</v>
      </c>
    </row>
    <row r="37" ht="12.75">
      <c r="A37" t="s">
        <v>183</v>
      </c>
    </row>
    <row r="39" ht="12.75"/>
    <row r="43" ht="12.75">
      <c r="A43" s="9" t="s">
        <v>184</v>
      </c>
    </row>
    <row r="44" ht="12.75">
      <c r="A44" t="s">
        <v>185</v>
      </c>
    </row>
    <row r="46" ht="12.75">
      <c r="B46" s="41" t="s">
        <v>96</v>
      </c>
    </row>
    <row r="49" spans="1:9" ht="15">
      <c r="A49" s="142"/>
      <c r="C49" t="s">
        <v>114</v>
      </c>
      <c r="I49" s="9" t="s">
        <v>186</v>
      </c>
    </row>
    <row r="50" spans="1:14" ht="15">
      <c r="A50" s="110"/>
      <c r="C50" t="s">
        <v>115</v>
      </c>
      <c r="I50" s="9" t="s">
        <v>120</v>
      </c>
      <c r="M50" s="12" t="s">
        <v>123</v>
      </c>
      <c r="N50" s="141" t="s">
        <v>121</v>
      </c>
    </row>
    <row r="51" spans="1:13" ht="15">
      <c r="A51" s="110"/>
      <c r="C51" t="s">
        <v>116</v>
      </c>
      <c r="I51" s="9" t="s">
        <v>187</v>
      </c>
      <c r="M51" s="144" t="s">
        <v>122</v>
      </c>
    </row>
    <row r="52" spans="1:14" ht="15">
      <c r="A52" s="42"/>
      <c r="C52" t="s">
        <v>118</v>
      </c>
      <c r="I52" s="9" t="s">
        <v>120</v>
      </c>
      <c r="M52" s="12" t="s">
        <v>122</v>
      </c>
      <c r="N52" s="12" t="s">
        <v>121</v>
      </c>
    </row>
    <row r="53" spans="1:13" ht="15">
      <c r="A53" s="143"/>
      <c r="C53" t="s">
        <v>117</v>
      </c>
      <c r="I53" s="9" t="s">
        <v>187</v>
      </c>
      <c r="M53" s="144" t="s">
        <v>122</v>
      </c>
    </row>
    <row r="54" ht="13.5" thickBot="1"/>
    <row r="55" spans="1:6" ht="17.25" customHeight="1">
      <c r="A55" s="342" t="s">
        <v>89</v>
      </c>
      <c r="B55" s="3"/>
      <c r="C55" s="3"/>
      <c r="D55" s="3"/>
      <c r="E55" s="56"/>
      <c r="F55" s="156"/>
    </row>
    <row r="56" spans="1:6" ht="17.25" customHeight="1">
      <c r="A56" s="340"/>
      <c r="B56" s="149" t="s">
        <v>119</v>
      </c>
      <c r="C56" s="149" t="s">
        <v>120</v>
      </c>
      <c r="D56" s="149" t="s">
        <v>120</v>
      </c>
      <c r="E56" s="155"/>
      <c r="F56" s="157"/>
    </row>
    <row r="57" spans="1:6" ht="12.75">
      <c r="A57" s="51">
        <v>2006</v>
      </c>
      <c r="B57" s="178">
        <f aca="true" t="shared" si="1" ref="B57:B62">(C57)*F57/1000</f>
        <v>81136.384</v>
      </c>
      <c r="C57" s="213">
        <v>90554</v>
      </c>
      <c r="D57" s="61">
        <v>379439.4</v>
      </c>
      <c r="E57" s="61">
        <v>807</v>
      </c>
      <c r="F57" s="62">
        <v>896</v>
      </c>
    </row>
    <row r="58" spans="1:13" ht="12.75">
      <c r="A58" s="51">
        <v>2007</v>
      </c>
      <c r="B58" s="178">
        <f t="shared" si="1"/>
        <v>173754.112</v>
      </c>
      <c r="C58" s="213">
        <v>193922</v>
      </c>
      <c r="D58" s="61">
        <v>224970</v>
      </c>
      <c r="E58" s="61">
        <v>807</v>
      </c>
      <c r="F58" s="62">
        <v>896</v>
      </c>
      <c r="M58" s="64"/>
    </row>
    <row r="59" spans="1:6" ht="12.75">
      <c r="A59" s="51">
        <v>2008</v>
      </c>
      <c r="B59" s="178">
        <f t="shared" si="1"/>
        <v>105402.3936</v>
      </c>
      <c r="C59" s="188">
        <f>('CMM consumption'!E16+'CMM consumption'!B52)*0.95</f>
        <v>117636.59999999999</v>
      </c>
      <c r="D59" s="61">
        <v>379439.4</v>
      </c>
      <c r="E59" s="61">
        <v>807</v>
      </c>
      <c r="F59" s="62">
        <v>896</v>
      </c>
    </row>
    <row r="60" spans="1:6" ht="12.75">
      <c r="A60" s="51">
        <v>2009</v>
      </c>
      <c r="B60" s="178">
        <f t="shared" si="1"/>
        <v>175670.656</v>
      </c>
      <c r="C60" s="61">
        <f>('CMM consumption'!B24+'CMM consumption'!E52)*0.95</f>
        <v>196061</v>
      </c>
      <c r="D60" s="61">
        <v>379439.4</v>
      </c>
      <c r="E60" s="61">
        <v>807</v>
      </c>
      <c r="F60" s="62">
        <v>896</v>
      </c>
    </row>
    <row r="61" spans="1:6" ht="12.75">
      <c r="A61" s="51">
        <v>2010</v>
      </c>
      <c r="B61" s="178">
        <f t="shared" si="1"/>
        <v>175670.656</v>
      </c>
      <c r="C61" s="61">
        <f>('CMM consumption'!E24+'CMM consumption'!B60)*0.95</f>
        <v>196061</v>
      </c>
      <c r="D61" s="61">
        <v>379439.4</v>
      </c>
      <c r="E61" s="61">
        <v>807</v>
      </c>
      <c r="F61" s="62">
        <v>896</v>
      </c>
    </row>
    <row r="62" spans="1:6" ht="12.75">
      <c r="A62" s="51">
        <v>2011</v>
      </c>
      <c r="B62" s="178">
        <f t="shared" si="1"/>
        <v>281073.04959999997</v>
      </c>
      <c r="C62" s="61">
        <f>('CMM consumption'!B32+'CMM consumption'!E60)*0.95</f>
        <v>313697.6</v>
      </c>
      <c r="D62" s="61">
        <v>379439.4</v>
      </c>
      <c r="E62" s="61">
        <v>807</v>
      </c>
      <c r="F62" s="62">
        <v>896</v>
      </c>
    </row>
    <row r="63" spans="1:11" ht="12.75">
      <c r="A63" s="51">
        <v>2012</v>
      </c>
      <c r="B63" s="15">
        <f>(C63-D63)*E63/1000+D63*F63/1000</f>
        <v>366034.6833</v>
      </c>
      <c r="C63" s="61">
        <f>('CMM consumption'!E32+'CMM consumption'!B68)*0.95</f>
        <v>411728.1</v>
      </c>
      <c r="D63" s="61">
        <v>379439.4</v>
      </c>
      <c r="E63" s="61">
        <v>807</v>
      </c>
      <c r="F63" s="62">
        <v>896</v>
      </c>
      <c r="K63" s="145"/>
    </row>
    <row r="64" spans="1:11" ht="12.75" hidden="1">
      <c r="A64" s="328" t="s">
        <v>324</v>
      </c>
      <c r="B64" s="329">
        <f>B59+B60+B61+B62+B63</f>
        <v>1103851.4385</v>
      </c>
      <c r="C64" s="329">
        <f>C59+C60+C61+C62+C63</f>
        <v>1235184.2999999998</v>
      </c>
      <c r="D64" s="329">
        <f>D59+D60+D61+D62+D63</f>
        <v>1897197</v>
      </c>
      <c r="E64" s="319"/>
      <c r="F64" s="324"/>
      <c r="K64" s="145"/>
    </row>
    <row r="65" spans="1:6" ht="13.5" thickBot="1">
      <c r="A65" s="153" t="s">
        <v>36</v>
      </c>
      <c r="B65" s="179">
        <f>SUM(B57:B63)</f>
        <v>1358741.9344999997</v>
      </c>
      <c r="C65" s="180">
        <f>SUM(C57:C63)</f>
        <v>1519660.2999999998</v>
      </c>
      <c r="D65" s="180">
        <f>SUM(D57:D63)</f>
        <v>2501606.4</v>
      </c>
      <c r="E65" s="180"/>
      <c r="F65" s="181"/>
    </row>
    <row r="71" spans="2:9" ht="16.5">
      <c r="B71" s="12" t="s">
        <v>132</v>
      </c>
      <c r="C71" s="109" t="s">
        <v>124</v>
      </c>
      <c r="I71" t="s">
        <v>125</v>
      </c>
    </row>
    <row r="72" spans="2:9" ht="16.5">
      <c r="B72" s="12" t="s">
        <v>133</v>
      </c>
      <c r="C72" s="109" t="s">
        <v>126</v>
      </c>
      <c r="I72" t="s">
        <v>127</v>
      </c>
    </row>
    <row r="73" spans="2:9" ht="16.5">
      <c r="B73" s="12" t="s">
        <v>137</v>
      </c>
      <c r="C73" s="109" t="s">
        <v>213</v>
      </c>
      <c r="I73" t="s">
        <v>125</v>
      </c>
    </row>
    <row r="74" spans="2:9" ht="16.5">
      <c r="B74" s="12" t="s">
        <v>136</v>
      </c>
      <c r="C74" s="109" t="s">
        <v>128</v>
      </c>
      <c r="I74" t="s">
        <v>127</v>
      </c>
    </row>
    <row r="75" spans="2:9" ht="18" customHeight="1">
      <c r="B75" s="12" t="s">
        <v>138</v>
      </c>
      <c r="C75" s="109" t="s">
        <v>214</v>
      </c>
      <c r="I75" t="s">
        <v>125</v>
      </c>
    </row>
    <row r="76" spans="2:9" ht="16.5">
      <c r="B76" s="12" t="s">
        <v>135</v>
      </c>
      <c r="C76" s="109" t="s">
        <v>129</v>
      </c>
      <c r="I76" t="s">
        <v>127</v>
      </c>
    </row>
    <row r="77" spans="2:9" ht="16.5">
      <c r="B77" s="12" t="s">
        <v>139</v>
      </c>
      <c r="C77" s="109" t="s">
        <v>215</v>
      </c>
      <c r="I77" t="s">
        <v>130</v>
      </c>
    </row>
    <row r="78" spans="2:9" ht="16.5">
      <c r="B78" s="12" t="s">
        <v>134</v>
      </c>
      <c r="C78" s="109" t="s">
        <v>131</v>
      </c>
      <c r="I78" t="s">
        <v>127</v>
      </c>
    </row>
    <row r="80" ht="13.5" thickBot="1"/>
    <row r="81" spans="1:10" ht="16.5">
      <c r="A81" s="342" t="s">
        <v>89</v>
      </c>
      <c r="B81" s="134" t="s">
        <v>140</v>
      </c>
      <c r="C81" s="134" t="s">
        <v>132</v>
      </c>
      <c r="D81" s="134" t="s">
        <v>133</v>
      </c>
      <c r="E81" s="134" t="s">
        <v>137</v>
      </c>
      <c r="F81" s="134" t="s">
        <v>136</v>
      </c>
      <c r="G81" s="134" t="s">
        <v>138</v>
      </c>
      <c r="H81" s="134" t="s">
        <v>135</v>
      </c>
      <c r="I81" s="134" t="s">
        <v>139</v>
      </c>
      <c r="J81" s="151" t="s">
        <v>134</v>
      </c>
    </row>
    <row r="82" spans="1:10" ht="12.75">
      <c r="A82" s="340"/>
      <c r="B82" s="40" t="s">
        <v>141</v>
      </c>
      <c r="C82" s="40" t="s">
        <v>125</v>
      </c>
      <c r="D82" s="40" t="s">
        <v>127</v>
      </c>
      <c r="E82" s="40" t="s">
        <v>125</v>
      </c>
      <c r="F82" s="40" t="s">
        <v>127</v>
      </c>
      <c r="G82" s="40" t="s">
        <v>125</v>
      </c>
      <c r="H82" s="40" t="s">
        <v>127</v>
      </c>
      <c r="I82" s="40" t="s">
        <v>125</v>
      </c>
      <c r="J82" s="152" t="s">
        <v>127</v>
      </c>
    </row>
    <row r="83" spans="1:10" ht="12.75">
      <c r="A83" s="51">
        <v>2006</v>
      </c>
      <c r="B83" s="15">
        <f>C83*D83+E83*F83+G83*H83+I83*J83</f>
        <v>2144.9610000000002</v>
      </c>
      <c r="C83" s="61">
        <v>0</v>
      </c>
      <c r="D83" s="108">
        <v>0.063</v>
      </c>
      <c r="E83" s="245">
        <f>'Heat load'!$B$3</f>
        <v>34047</v>
      </c>
      <c r="F83" s="108">
        <v>0.063</v>
      </c>
      <c r="G83" s="245">
        <v>0</v>
      </c>
      <c r="H83" s="108">
        <v>0.063</v>
      </c>
      <c r="I83" s="245">
        <v>0</v>
      </c>
      <c r="J83" s="146">
        <f>'Emission factors '!B15</f>
        <v>0.14346305606066004</v>
      </c>
    </row>
    <row r="84" spans="1:10" ht="12.75">
      <c r="A84" s="51">
        <v>2007</v>
      </c>
      <c r="B84" s="15">
        <f aca="true" t="shared" si="2" ref="B84:B89">C84*D84+E84*F84+G84*H84+I84*J84</f>
        <v>8793.225</v>
      </c>
      <c r="C84" s="61">
        <v>0</v>
      </c>
      <c r="D84" s="108">
        <v>0.063</v>
      </c>
      <c r="E84" s="245">
        <f>'Heat load'!$B$4</f>
        <v>139575</v>
      </c>
      <c r="F84" s="108">
        <v>0.063</v>
      </c>
      <c r="G84" s="245">
        <f>'Heat load'!$B21</f>
        <v>0</v>
      </c>
      <c r="H84" s="108">
        <v>0.063</v>
      </c>
      <c r="I84" s="245">
        <f>'Heat load'!$B12</f>
        <v>0</v>
      </c>
      <c r="J84" s="146">
        <f aca="true" t="shared" si="3" ref="J84:J89">J83</f>
        <v>0.14346305606066004</v>
      </c>
    </row>
    <row r="85" spans="1:10" ht="12.75">
      <c r="A85" s="51">
        <v>2008</v>
      </c>
      <c r="B85" s="15">
        <f t="shared" si="2"/>
        <v>5901.5541815999995</v>
      </c>
      <c r="C85" s="61">
        <f>'Heat load'!$B$30</f>
        <v>0</v>
      </c>
      <c r="D85" s="108">
        <v>0.063</v>
      </c>
      <c r="E85" s="245">
        <f>'Heat load'!$B$5</f>
        <v>93675.4632</v>
      </c>
      <c r="F85" s="108">
        <v>0.063</v>
      </c>
      <c r="G85" s="245">
        <f>'Heat load'!$B22</f>
        <v>0</v>
      </c>
      <c r="H85" s="108">
        <v>0.063</v>
      </c>
      <c r="I85" s="245">
        <f>'Heat load'!$B13</f>
        <v>0</v>
      </c>
      <c r="J85" s="146">
        <f t="shared" si="3"/>
        <v>0.14346305606066004</v>
      </c>
    </row>
    <row r="86" spans="1:10" ht="12.75">
      <c r="A86" s="51">
        <v>2009</v>
      </c>
      <c r="B86" s="15">
        <f t="shared" si="2"/>
        <v>53373.0068785568</v>
      </c>
      <c r="C86" s="61">
        <f>'Heat load'!$B$31</f>
        <v>0</v>
      </c>
      <c r="D86" s="108">
        <v>0.063</v>
      </c>
      <c r="E86" s="245">
        <f>'Heat load'!$B$6</f>
        <v>93675.4632</v>
      </c>
      <c r="F86" s="108">
        <v>0.063</v>
      </c>
      <c r="G86" s="245">
        <f>'Heat load'!$B23</f>
        <v>82320.8616</v>
      </c>
      <c r="H86" s="108">
        <v>0.063</v>
      </c>
      <c r="I86" s="245">
        <f>'Heat load'!$B14</f>
        <v>294746.5332</v>
      </c>
      <c r="J86" s="146">
        <f t="shared" si="3"/>
        <v>0.14346305606066004</v>
      </c>
    </row>
    <row r="87" spans="1:10" ht="12.75">
      <c r="A87" s="51">
        <v>2010</v>
      </c>
      <c r="B87" s="15">
        <f t="shared" si="2"/>
        <v>96306.1145634368</v>
      </c>
      <c r="C87" s="61">
        <f>'Heat load'!$B$32</f>
        <v>681477.8997600001</v>
      </c>
      <c r="D87" s="108">
        <v>0.063</v>
      </c>
      <c r="E87" s="245">
        <f>'Heat load'!$B$7</f>
        <v>93675.4632</v>
      </c>
      <c r="F87" s="108">
        <v>0.063</v>
      </c>
      <c r="G87" s="245">
        <f>'Heat load'!$B24</f>
        <v>82320.8616</v>
      </c>
      <c r="H87" s="108">
        <v>0.063</v>
      </c>
      <c r="I87" s="245">
        <f>'Heat load'!$B15</f>
        <v>294746.5332</v>
      </c>
      <c r="J87" s="146">
        <f t="shared" si="3"/>
        <v>0.14346305606066004</v>
      </c>
    </row>
    <row r="88" spans="1:10" ht="12.75">
      <c r="A88" s="51">
        <v>2011</v>
      </c>
      <c r="B88" s="15">
        <f t="shared" si="2"/>
        <v>96306.1145634368</v>
      </c>
      <c r="C88" s="61">
        <f>'Heat load'!$B$33</f>
        <v>681477.8997600001</v>
      </c>
      <c r="D88" s="108">
        <v>0.063</v>
      </c>
      <c r="E88" s="245">
        <f>'Heat load'!$B$8</f>
        <v>93675.4632</v>
      </c>
      <c r="F88" s="108">
        <v>0.063</v>
      </c>
      <c r="G88" s="245">
        <f>'Heat load'!$B25</f>
        <v>82320.8616</v>
      </c>
      <c r="H88" s="108">
        <v>0.063</v>
      </c>
      <c r="I88" s="245">
        <f>'Heat load'!$B16</f>
        <v>294746.5332</v>
      </c>
      <c r="J88" s="146">
        <f t="shared" si="3"/>
        <v>0.14346305606066004</v>
      </c>
    </row>
    <row r="89" spans="1:10" ht="12.75">
      <c r="A89" s="51">
        <v>2012</v>
      </c>
      <c r="B89" s="15">
        <f t="shared" si="2"/>
        <v>96306.1145634368</v>
      </c>
      <c r="C89" s="61">
        <f>'Heat load'!$B$34</f>
        <v>681477.8997600001</v>
      </c>
      <c r="D89" s="108">
        <v>0.063</v>
      </c>
      <c r="E89" s="245">
        <f>'Heat load'!$B$9</f>
        <v>93675.4632</v>
      </c>
      <c r="F89" s="108">
        <v>0.063</v>
      </c>
      <c r="G89" s="245">
        <f>'Heat load'!$B26</f>
        <v>82320.8616</v>
      </c>
      <c r="H89" s="108">
        <v>0.063</v>
      </c>
      <c r="I89" s="245">
        <f>'Heat load'!$B17</f>
        <v>294746.5332</v>
      </c>
      <c r="J89" s="146">
        <f t="shared" si="3"/>
        <v>0.14346305606066004</v>
      </c>
    </row>
    <row r="90" spans="1:10" ht="12.75" hidden="1">
      <c r="A90" s="328" t="s">
        <v>324</v>
      </c>
      <c r="B90" s="329">
        <f>B85+B86+B87+B88+B89</f>
        <v>348192.90475046716</v>
      </c>
      <c r="C90" s="329">
        <f aca="true" t="shared" si="4" ref="C90:I90">C85+C86+C87+C88+C89</f>
        <v>2044433.6992800003</v>
      </c>
      <c r="D90" s="329"/>
      <c r="E90" s="329">
        <f t="shared" si="4"/>
        <v>468377.316</v>
      </c>
      <c r="F90" s="329"/>
      <c r="G90" s="329">
        <f t="shared" si="4"/>
        <v>329283.4464</v>
      </c>
      <c r="H90" s="329"/>
      <c r="I90" s="329">
        <f t="shared" si="4"/>
        <v>1178986.1328</v>
      </c>
      <c r="J90" s="330"/>
    </row>
    <row r="91" spans="1:10" ht="13.5" thickBot="1">
      <c r="A91" s="153" t="s">
        <v>36</v>
      </c>
      <c r="B91" s="179">
        <f>SUM(B83:B89)</f>
        <v>359131.09075046727</v>
      </c>
      <c r="C91" s="180">
        <f>SUM(C85:C89)</f>
        <v>2044433.6992800003</v>
      </c>
      <c r="D91" s="27"/>
      <c r="E91" s="180">
        <f>SUM(E83:E89)</f>
        <v>641999.316</v>
      </c>
      <c r="F91" s="27"/>
      <c r="G91" s="180">
        <f>SUM(G83:G89)</f>
        <v>329283.4464</v>
      </c>
      <c r="H91" s="27"/>
      <c r="I91" s="180">
        <f>SUM(I83:I89)</f>
        <v>1178986.1328</v>
      </c>
      <c r="J91" s="154"/>
    </row>
    <row r="92" spans="1:10" ht="12.75">
      <c r="A92" s="75"/>
      <c r="B92" s="87"/>
      <c r="C92" s="162"/>
      <c r="D92" s="28"/>
      <c r="E92" s="162"/>
      <c r="F92" s="28"/>
      <c r="G92" s="162"/>
      <c r="H92" s="28"/>
      <c r="I92" s="162"/>
      <c r="J92" s="28"/>
    </row>
    <row r="93" spans="1:10" ht="12.75">
      <c r="A93" s="75"/>
      <c r="B93" s="87"/>
      <c r="C93" s="162"/>
      <c r="D93" s="28"/>
      <c r="E93" s="162"/>
      <c r="F93" s="28"/>
      <c r="G93" s="162"/>
      <c r="H93" s="28"/>
      <c r="I93" s="162"/>
      <c r="J93" s="28"/>
    </row>
    <row r="94" spans="1:10" ht="16.5">
      <c r="A94" s="75"/>
      <c r="B94" s="163" t="s">
        <v>142</v>
      </c>
      <c r="C94" s="109" t="s">
        <v>144</v>
      </c>
      <c r="H94" t="s">
        <v>125</v>
      </c>
      <c r="I94" s="162"/>
      <c r="J94" s="28"/>
    </row>
    <row r="95" spans="2:8" ht="16.5">
      <c r="B95" s="163" t="s">
        <v>143</v>
      </c>
      <c r="C95" s="109" t="s">
        <v>145</v>
      </c>
      <c r="H95" t="s">
        <v>127</v>
      </c>
    </row>
    <row r="96" ht="13.5" thickBot="1">
      <c r="B96" s="150"/>
    </row>
    <row r="97" spans="1:5" ht="51">
      <c r="A97" s="232" t="s">
        <v>89</v>
      </c>
      <c r="B97" s="233" t="s">
        <v>150</v>
      </c>
      <c r="C97" s="239" t="s">
        <v>148</v>
      </c>
      <c r="D97" s="239" t="s">
        <v>144</v>
      </c>
      <c r="E97" s="240" t="s">
        <v>143</v>
      </c>
    </row>
    <row r="98" spans="1:5" ht="16.5" customHeight="1">
      <c r="A98" s="51"/>
      <c r="B98" s="148" t="s">
        <v>149</v>
      </c>
      <c r="C98" s="148" t="s">
        <v>209</v>
      </c>
      <c r="D98" s="147" t="s">
        <v>9</v>
      </c>
      <c r="E98" s="148" t="s">
        <v>127</v>
      </c>
    </row>
    <row r="99" ht="12.75" customHeight="1" hidden="1" thickBot="1">
      <c r="B99" s="150"/>
    </row>
    <row r="100" ht="13.5" hidden="1" thickBot="1"/>
    <row r="101" spans="1:5" ht="12.75" customHeight="1">
      <c r="A101" s="283">
        <v>2004</v>
      </c>
      <c r="B101" s="15">
        <f aca="true" t="shared" si="5" ref="B101:B109">C101*D101*E101/1000</f>
        <v>5725.70349264</v>
      </c>
      <c r="C101" s="53">
        <v>35.82</v>
      </c>
      <c r="D101" s="260">
        <v>2220091</v>
      </c>
      <c r="E101" s="25">
        <f>'Emission factors '!$B$32</f>
        <v>0.072</v>
      </c>
    </row>
    <row r="102" spans="1:5" ht="15" customHeight="1">
      <c r="A102">
        <v>2005</v>
      </c>
      <c r="B102" s="15">
        <f t="shared" si="5"/>
        <v>5660.193297599999</v>
      </c>
      <c r="C102" s="53">
        <v>35.82</v>
      </c>
      <c r="D102" s="15">
        <v>2194690</v>
      </c>
      <c r="E102" s="25">
        <f>'Emission factors '!$B$32</f>
        <v>0.072</v>
      </c>
    </row>
    <row r="103" spans="1:5" ht="12.75">
      <c r="A103" s="51">
        <v>2006</v>
      </c>
      <c r="B103" s="15">
        <f t="shared" si="5"/>
        <v>4103.6523912</v>
      </c>
      <c r="C103" s="53">
        <v>35.82</v>
      </c>
      <c r="D103" s="241">
        <v>1591155</v>
      </c>
      <c r="E103" s="25">
        <f>'Emission factors '!$B$32</f>
        <v>0.072</v>
      </c>
    </row>
    <row r="104" spans="1:5" ht="12.75">
      <c r="A104" s="51">
        <v>2007</v>
      </c>
      <c r="B104" s="15">
        <f t="shared" si="5"/>
        <v>5169.6031507200005</v>
      </c>
      <c r="C104" s="53">
        <v>35.82</v>
      </c>
      <c r="D104" s="183">
        <v>2004468</v>
      </c>
      <c r="E104" s="25">
        <f>'Emission factors '!$B$32</f>
        <v>0.072</v>
      </c>
    </row>
    <row r="105" spans="1:5" ht="12.75">
      <c r="A105" s="51">
        <v>2008</v>
      </c>
      <c r="B105" s="15">
        <f t="shared" si="5"/>
        <v>8514.661874399999</v>
      </c>
      <c r="C105" s="53">
        <v>35.82</v>
      </c>
      <c r="D105" s="183">
        <f>'CMM consumption'!F87</f>
        <v>3301485</v>
      </c>
      <c r="E105" s="25">
        <f>'Emission factors '!$B$32</f>
        <v>0.072</v>
      </c>
    </row>
    <row r="106" spans="1:5" ht="12.75">
      <c r="A106" s="51">
        <v>2009</v>
      </c>
      <c r="B106" s="15">
        <f t="shared" si="5"/>
        <v>10218.19000752</v>
      </c>
      <c r="C106" s="53">
        <v>35.82</v>
      </c>
      <c r="D106" s="183">
        <f>'CMM consumption'!F88</f>
        <v>3962013</v>
      </c>
      <c r="E106" s="25">
        <f>'Emission factors '!$B$32</f>
        <v>0.072</v>
      </c>
    </row>
    <row r="107" spans="1:5" ht="12.75">
      <c r="A107" s="51">
        <v>2010</v>
      </c>
      <c r="B107" s="15">
        <f t="shared" si="5"/>
        <v>10218.19000752</v>
      </c>
      <c r="C107" s="53">
        <v>35.82</v>
      </c>
      <c r="D107" s="183">
        <f>'CMM consumption'!F89</f>
        <v>3962013</v>
      </c>
      <c r="E107" s="25">
        <f>'Emission factors '!$B$32</f>
        <v>0.072</v>
      </c>
    </row>
    <row r="108" spans="1:5" ht="12.75">
      <c r="A108" s="51">
        <v>2011</v>
      </c>
      <c r="B108" s="15">
        <f t="shared" si="5"/>
        <v>10218.19000752</v>
      </c>
      <c r="C108" s="53">
        <v>35.82</v>
      </c>
      <c r="D108" s="183">
        <f>'CMM consumption'!F90</f>
        <v>3962013</v>
      </c>
      <c r="E108" s="25">
        <f>'Emission factors '!$B$32</f>
        <v>0.072</v>
      </c>
    </row>
    <row r="109" spans="1:5" ht="13.5" thickBot="1">
      <c r="A109" s="164">
        <v>2012</v>
      </c>
      <c r="B109" s="15">
        <f t="shared" si="5"/>
        <v>10218.19000752</v>
      </c>
      <c r="C109" s="53">
        <v>35.82</v>
      </c>
      <c r="D109" s="183">
        <f>'CMM consumption'!F91</f>
        <v>3962013</v>
      </c>
      <c r="E109" s="25">
        <f>'Emission factors '!$B$32</f>
        <v>0.072</v>
      </c>
    </row>
    <row r="110" spans="1:5" ht="13.5" hidden="1" thickBot="1">
      <c r="A110" s="332" t="s">
        <v>324</v>
      </c>
      <c r="B110" s="322">
        <f>B105+B106+B107+B108+B109</f>
        <v>49387.42190448</v>
      </c>
      <c r="C110" s="322"/>
      <c r="D110" s="322">
        <f>D105+D106+D107+D108+D109</f>
        <v>19149537</v>
      </c>
      <c r="E110" s="331"/>
    </row>
    <row r="111" spans="1:5" ht="13.5" thickBot="1">
      <c r="A111" s="165" t="s">
        <v>36</v>
      </c>
      <c r="B111" s="184">
        <f>SUM(B101:B109)</f>
        <v>70046.57423664</v>
      </c>
      <c r="C111" s="185"/>
      <c r="D111" s="186">
        <f>SUM(D101:D109)</f>
        <v>27159941</v>
      </c>
      <c r="E111" s="166"/>
    </row>
    <row r="112" ht="12.75">
      <c r="D112" s="13"/>
    </row>
    <row r="114" ht="15.75">
      <c r="A114" s="219" t="s">
        <v>190</v>
      </c>
    </row>
    <row r="118" spans="1:7" ht="13.5" thickBot="1">
      <c r="A118" s="192"/>
      <c r="B118" s="192"/>
      <c r="C118" s="192"/>
      <c r="D118" s="192"/>
      <c r="E118" s="192"/>
      <c r="F118" s="192"/>
      <c r="G118" s="192"/>
    </row>
    <row r="119" spans="1:7" ht="16.5" customHeight="1">
      <c r="A119" s="342" t="s">
        <v>89</v>
      </c>
      <c r="B119" s="346" t="s">
        <v>151</v>
      </c>
      <c r="C119" s="346" t="s">
        <v>150</v>
      </c>
      <c r="D119" s="348" t="s">
        <v>140</v>
      </c>
      <c r="E119" s="350"/>
      <c r="F119" s="352" t="s">
        <v>106</v>
      </c>
      <c r="G119" s="192"/>
    </row>
    <row r="120" spans="1:7" ht="15" customHeight="1">
      <c r="A120" s="345"/>
      <c r="B120" s="347"/>
      <c r="C120" s="347"/>
      <c r="D120" s="349"/>
      <c r="E120" s="351"/>
      <c r="F120" s="353"/>
      <c r="G120" s="192"/>
    </row>
    <row r="121" spans="1:7" ht="16.5" customHeight="1">
      <c r="A121" s="340"/>
      <c r="B121" s="148" t="s">
        <v>149</v>
      </c>
      <c r="C121" s="148" t="s">
        <v>149</v>
      </c>
      <c r="D121" s="148" t="s">
        <v>149</v>
      </c>
      <c r="E121" s="148" t="s">
        <v>149</v>
      </c>
      <c r="F121" s="167" t="s">
        <v>149</v>
      </c>
      <c r="G121" s="192"/>
    </row>
    <row r="122" spans="1:7" ht="12.75" customHeight="1">
      <c r="A122">
        <v>2004</v>
      </c>
      <c r="B122" s="187">
        <f>C122+D122+E122+F122</f>
        <v>39139.62710634</v>
      </c>
      <c r="C122" s="61">
        <f>$B$101</f>
        <v>5725.70349264</v>
      </c>
      <c r="D122" s="25">
        <v>0</v>
      </c>
      <c r="E122" s="25">
        <v>0</v>
      </c>
      <c r="F122" s="62">
        <f>$E$18</f>
        <v>33413.9236137</v>
      </c>
      <c r="G122" s="192"/>
    </row>
    <row r="123" spans="1:7" ht="12.75">
      <c r="A123">
        <v>2005</v>
      </c>
      <c r="B123" s="187">
        <f>C123+D123+E123+F123</f>
        <v>38691.8140806</v>
      </c>
      <c r="C123" s="61">
        <f>$B$102</f>
        <v>5660.193297599999</v>
      </c>
      <c r="D123" s="25">
        <v>0</v>
      </c>
      <c r="E123" s="25">
        <v>0</v>
      </c>
      <c r="F123" s="62">
        <f>$E$19</f>
        <v>33031.620783000006</v>
      </c>
      <c r="G123" s="192"/>
    </row>
    <row r="124" spans="1:7" ht="12.75">
      <c r="A124" s="51">
        <v>2006</v>
      </c>
      <c r="B124" s="187">
        <f>C124+D124+E124+F124</f>
        <v>481904.57158540003</v>
      </c>
      <c r="C124" s="61">
        <f>$B$103</f>
        <v>4103.6523912</v>
      </c>
      <c r="D124" s="61">
        <f>$B$83</f>
        <v>2144.9610000000002</v>
      </c>
      <c r="E124" s="61">
        <f>$B$57</f>
        <v>81136.384</v>
      </c>
      <c r="F124" s="62">
        <f>$E$20</f>
        <v>394519.5741942</v>
      </c>
      <c r="G124" s="192"/>
    </row>
    <row r="125" spans="1:7" ht="12.75">
      <c r="A125" s="51">
        <v>2007</v>
      </c>
      <c r="B125" s="187">
        <f aca="true" t="shared" si="6" ref="B125:B130">C125+D125+E125+F125</f>
        <v>1085696.48669872</v>
      </c>
      <c r="C125" s="188">
        <f>$B$104</f>
        <v>5169.6031507200005</v>
      </c>
      <c r="D125" s="61">
        <f>$B$84</f>
        <v>8793.225</v>
      </c>
      <c r="E125" s="61">
        <f>$B$58</f>
        <v>173754.112</v>
      </c>
      <c r="F125" s="62">
        <f>$E$21</f>
        <v>897979.546548</v>
      </c>
      <c r="G125" s="192"/>
    </row>
    <row r="126" spans="1:7" ht="12.75">
      <c r="A126" s="51">
        <v>2008</v>
      </c>
      <c r="B126" s="187">
        <f t="shared" si="6"/>
        <v>625638.3963135</v>
      </c>
      <c r="C126" s="188">
        <f>$B$105</f>
        <v>8514.661874399999</v>
      </c>
      <c r="D126" s="61">
        <f>$B$85</f>
        <v>5901.5541815999995</v>
      </c>
      <c r="E126" s="61">
        <f>$B$59</f>
        <v>105402.3936</v>
      </c>
      <c r="F126" s="62">
        <f>$E$22</f>
        <v>505819.7866575</v>
      </c>
      <c r="G126" s="192"/>
    </row>
    <row r="127" spans="1:7" ht="12.75">
      <c r="A127" s="51">
        <v>2009</v>
      </c>
      <c r="B127" s="187">
        <f t="shared" si="6"/>
        <v>1059109.7992251767</v>
      </c>
      <c r="C127" s="188">
        <f>$B$106</f>
        <v>10218.19000752</v>
      </c>
      <c r="D127" s="61">
        <f>$B$86</f>
        <v>53373.0068785568</v>
      </c>
      <c r="E127" s="61">
        <f>$B$60</f>
        <v>175670.656</v>
      </c>
      <c r="F127" s="62">
        <f>$E$23</f>
        <v>819847.9463390999</v>
      </c>
      <c r="G127" s="192"/>
    </row>
    <row r="128" spans="1:7" ht="12.75">
      <c r="A128" s="51">
        <v>2010</v>
      </c>
      <c r="B128" s="187">
        <f t="shared" si="6"/>
        <v>1102042.9069100567</v>
      </c>
      <c r="C128" s="188">
        <f>$B$107</f>
        <v>10218.19000752</v>
      </c>
      <c r="D128" s="61">
        <f>$B$87</f>
        <v>96306.1145634368</v>
      </c>
      <c r="E128" s="61">
        <f>$B$61</f>
        <v>175670.656</v>
      </c>
      <c r="F128" s="62">
        <f>$E$24</f>
        <v>819847.9463391</v>
      </c>
      <c r="G128" s="192"/>
    </row>
    <row r="129" spans="1:7" ht="12.75">
      <c r="A129" s="51">
        <v>2011</v>
      </c>
      <c r="B129" s="187">
        <f t="shared" si="6"/>
        <v>1663575.4268780565</v>
      </c>
      <c r="C129" s="188">
        <f>$B$108</f>
        <v>10218.19000752</v>
      </c>
      <c r="D129" s="61">
        <f>$B$88</f>
        <v>96306.1145634368</v>
      </c>
      <c r="E129" s="61">
        <f>$B$62</f>
        <v>281073.04959999997</v>
      </c>
      <c r="F129" s="62">
        <f>$E$25</f>
        <v>1275978.0727070998</v>
      </c>
      <c r="G129" s="192"/>
    </row>
    <row r="130" spans="1:7" ht="13.5" thickBot="1">
      <c r="A130" s="164">
        <v>2012</v>
      </c>
      <c r="B130" s="333">
        <f t="shared" si="6"/>
        <v>2128645.4992180564</v>
      </c>
      <c r="C130" s="189">
        <f>$B$109</f>
        <v>10218.19000752</v>
      </c>
      <c r="D130" s="180">
        <f>$B$89</f>
        <v>96306.1145634368</v>
      </c>
      <c r="E130" s="180">
        <f>$B$63</f>
        <v>366034.6833</v>
      </c>
      <c r="F130" s="181">
        <f>$E$26</f>
        <v>1656086.5113470997</v>
      </c>
      <c r="G130" s="192"/>
    </row>
    <row r="131" spans="1:7" ht="13.5" hidden="1" thickBot="1">
      <c r="A131" s="165" t="s">
        <v>324</v>
      </c>
      <c r="B131" s="190">
        <f>B126+B127+B128+B129+B130</f>
        <v>6579012.028544847</v>
      </c>
      <c r="C131" s="190">
        <f>C126+C127+C128+C129+C130</f>
        <v>49387.42190448</v>
      </c>
      <c r="D131" s="190">
        <f>D126+D127+D128+D129+D130</f>
        <v>348192.90475046716</v>
      </c>
      <c r="E131" s="190">
        <f>E126+E127+E128+E129+E130</f>
        <v>1103851.4385</v>
      </c>
      <c r="F131" s="190">
        <f>F126+F127+F128+F129+F130</f>
        <v>5077580.263389899</v>
      </c>
      <c r="G131" s="192"/>
    </row>
    <row r="132" spans="1:7" ht="13.5" thickBot="1">
      <c r="A132" s="165" t="s">
        <v>36</v>
      </c>
      <c r="B132" s="190">
        <f>SUM(B122:B130)</f>
        <v>8224444.528015906</v>
      </c>
      <c r="C132" s="185">
        <f>SUM(C122:C130)</f>
        <v>70046.57423664</v>
      </c>
      <c r="D132" s="185">
        <f>SUM(D124:D130)</f>
        <v>359131.09075046727</v>
      </c>
      <c r="E132" s="185">
        <f>SUM(E124:E130)</f>
        <v>1358741.9344999997</v>
      </c>
      <c r="F132" s="191">
        <f>SUM(F122:F130)</f>
        <v>6436524.928528801</v>
      </c>
      <c r="G132" s="192"/>
    </row>
    <row r="133" spans="1:7" ht="12.75">
      <c r="A133" s="192"/>
      <c r="B133" s="192"/>
      <c r="C133" s="192"/>
      <c r="D133" s="192"/>
      <c r="E133" s="192"/>
      <c r="F133" s="192"/>
      <c r="G133" s="192"/>
    </row>
  </sheetData>
  <mergeCells count="8">
    <mergeCell ref="C119:C120"/>
    <mergeCell ref="D119:D120"/>
    <mergeCell ref="E119:E120"/>
    <mergeCell ref="F119:F120"/>
    <mergeCell ref="A81:A82"/>
    <mergeCell ref="A55:A56"/>
    <mergeCell ref="A119:A121"/>
    <mergeCell ref="B119:B120"/>
  </mergeCells>
  <printOptions/>
  <pageMargins left="0.75" right="0.75" top="1" bottom="1" header="0.5" footer="0.5"/>
  <pageSetup horizontalDpi="600" verticalDpi="600" orientation="portrait" paperSize="9" r:id="rId24"/>
  <legacyDrawing r:id="rId23"/>
  <oleObjects>
    <oleObject progId="Equation.3" shapeId="2238168" r:id="rId2"/>
    <oleObject progId="Equation.3" shapeId="2279137" r:id="rId3"/>
    <oleObject progId="Equation.3" shapeId="2387618" r:id="rId4"/>
    <oleObject progId="Equation.3" shapeId="2390625" r:id="rId5"/>
    <oleObject progId="Equation.3" shapeId="2396114" r:id="rId6"/>
    <oleObject progId="Equation.3" shapeId="2399946" r:id="rId7"/>
    <oleObject progId="Equation.3" shapeId="2404626" r:id="rId8"/>
    <oleObject progId="Equation.3" shapeId="2405621" r:id="rId9"/>
    <oleObject progId="Equation.3" shapeId="2407177" r:id="rId10"/>
    <oleObject progId="Equation.3" shapeId="2414902" r:id="rId11"/>
    <oleObject progId="Equation.3" shapeId="2417321" r:id="rId12"/>
    <oleObject progId="Equation.3" shapeId="2782091" r:id="rId13"/>
    <oleObject progId="Equation.3" shapeId="2782741" r:id="rId14"/>
    <oleObject progId="Equation.3" shapeId="2783458" r:id="rId15"/>
    <oleObject progId="Equation.3" shapeId="2783973" r:id="rId16"/>
    <oleObject progId="Equation.3" shapeId="2784668" r:id="rId17"/>
    <oleObject progId="Equation.3" shapeId="733217" r:id="rId18"/>
    <oleObject progId="Equation.3" shapeId="1868908" r:id="rId19"/>
    <oleObject progId="Equation.3" shapeId="2127500" r:id="rId20"/>
    <oleObject progId="Equation.3" shapeId="2201650" r:id="rId21"/>
    <oleObject progId="Equation.3" shapeId="69473" r:id="rId2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B17" sqref="B17"/>
    </sheetView>
  </sheetViews>
  <sheetFormatPr defaultColWidth="9.33203125" defaultRowHeight="12.75"/>
  <cols>
    <col min="1" max="1" width="16.83203125" style="0" customWidth="1"/>
    <col min="3" max="5" width="8.83203125" style="0" customWidth="1"/>
    <col min="6" max="6" width="10.83203125" style="0" customWidth="1"/>
    <col min="8" max="8" width="15.5" style="0" customWidth="1"/>
    <col min="9" max="9" width="12.16015625" style="0" customWidth="1"/>
    <col min="11" max="11" width="10.5" style="0" customWidth="1"/>
    <col min="12" max="12" width="10.33203125" style="0" customWidth="1"/>
    <col min="13" max="14" width="10.5" style="0" customWidth="1"/>
  </cols>
  <sheetData>
    <row r="1" spans="1:14" ht="15.75" thickBot="1">
      <c r="A1" s="354"/>
      <c r="B1" s="355"/>
      <c r="C1" s="356">
        <v>2004</v>
      </c>
      <c r="D1" s="356">
        <v>2005</v>
      </c>
      <c r="E1" s="356">
        <v>2006</v>
      </c>
      <c r="F1" s="356">
        <v>2007</v>
      </c>
      <c r="G1" s="357"/>
      <c r="H1" s="354"/>
      <c r="I1" s="355"/>
      <c r="J1" s="356">
        <v>2008</v>
      </c>
      <c r="K1" s="356">
        <v>2009</v>
      </c>
      <c r="L1" s="356">
        <v>2010</v>
      </c>
      <c r="M1" s="356">
        <v>2011</v>
      </c>
      <c r="N1" s="356">
        <v>2012</v>
      </c>
    </row>
    <row r="2" spans="1:14" ht="15">
      <c r="A2" s="358" t="s">
        <v>196</v>
      </c>
      <c r="B2" s="359" t="s">
        <v>224</v>
      </c>
      <c r="C2" s="360">
        <f>'Project emissions'!$D105</f>
        <v>4811.207215567875</v>
      </c>
      <c r="D2" s="360">
        <f>'Project emissions'!$D106</f>
        <v>4756.160159171251</v>
      </c>
      <c r="E2" s="360">
        <f>'Project emissions'!$D107</f>
        <v>53585.678550057</v>
      </c>
      <c r="F2" s="361">
        <f>'Project emissions'!$D108</f>
        <v>121756.674505752</v>
      </c>
      <c r="G2" s="357"/>
      <c r="H2" s="358" t="s">
        <v>196</v>
      </c>
      <c r="I2" s="359" t="s">
        <v>224</v>
      </c>
      <c r="J2" s="360">
        <f>'Project emissions'!$D109</f>
        <v>68868.03961159314</v>
      </c>
      <c r="K2" s="360">
        <f>'Project emissions'!$D110</f>
        <v>111441.69750663111</v>
      </c>
      <c r="L2" s="360">
        <f>'Project emissions'!$D111</f>
        <v>111441.69750663113</v>
      </c>
      <c r="M2" s="360">
        <f>'Project emissions'!$D112</f>
        <v>173155.0175801111</v>
      </c>
      <c r="N2" s="362">
        <f>'Project emissions'!$D113</f>
        <v>224582.7843080111</v>
      </c>
    </row>
    <row r="3" spans="1:14" ht="15.75" thickBot="1">
      <c r="A3" s="363" t="s">
        <v>322</v>
      </c>
      <c r="B3" s="364" t="s">
        <v>225</v>
      </c>
      <c r="C3" s="365">
        <f>C2+D2+E2+F2</f>
        <v>184909.72043054813</v>
      </c>
      <c r="D3" s="366"/>
      <c r="E3" s="366"/>
      <c r="F3" s="367"/>
      <c r="G3" s="357"/>
      <c r="H3" s="363" t="s">
        <v>321</v>
      </c>
      <c r="I3" s="364" t="s">
        <v>225</v>
      </c>
      <c r="J3" s="368">
        <f>J2+K2+L2+M2+N2</f>
        <v>689489.2365129776</v>
      </c>
      <c r="K3" s="369"/>
      <c r="L3" s="369"/>
      <c r="M3" s="369"/>
      <c r="N3" s="370"/>
    </row>
    <row r="4" spans="1:14" ht="15.75" thickBot="1">
      <c r="A4" s="371"/>
      <c r="B4" s="372"/>
      <c r="C4" s="372"/>
      <c r="D4" s="372"/>
      <c r="E4" s="373"/>
      <c r="F4" s="373"/>
      <c r="G4" s="357"/>
      <c r="H4" s="357"/>
      <c r="I4" s="357"/>
      <c r="J4" s="357"/>
      <c r="K4" s="357"/>
      <c r="L4" s="357"/>
      <c r="M4" s="357"/>
      <c r="N4" s="357"/>
    </row>
    <row r="5" spans="1:14" ht="15.75" thickBot="1">
      <c r="A5" s="374"/>
      <c r="B5" s="375"/>
      <c r="C5" s="356">
        <v>2004</v>
      </c>
      <c r="D5" s="356">
        <v>2005</v>
      </c>
      <c r="E5" s="356">
        <v>2006</v>
      </c>
      <c r="F5" s="356">
        <v>2007</v>
      </c>
      <c r="G5" s="357"/>
      <c r="H5" s="374"/>
      <c r="I5" s="375"/>
      <c r="J5" s="356">
        <v>2008</v>
      </c>
      <c r="K5" s="356">
        <v>2009</v>
      </c>
      <c r="L5" s="356">
        <v>2010</v>
      </c>
      <c r="M5" s="356">
        <v>2011</v>
      </c>
      <c r="N5" s="356">
        <v>2012</v>
      </c>
    </row>
    <row r="6" spans="1:14" ht="15">
      <c r="A6" s="376" t="s">
        <v>188</v>
      </c>
      <c r="B6" s="359" t="s">
        <v>224</v>
      </c>
      <c r="C6" s="360">
        <f>'Baseline emissions'!$B122</f>
        <v>39139.62710634</v>
      </c>
      <c r="D6" s="360">
        <f>'Baseline emissions'!$B123</f>
        <v>38691.8140806</v>
      </c>
      <c r="E6" s="360">
        <f>'Baseline emissions'!$B124</f>
        <v>481904.57158540003</v>
      </c>
      <c r="F6" s="361">
        <f>'Baseline emissions'!$B125</f>
        <v>1085696.48669872</v>
      </c>
      <c r="G6" s="357"/>
      <c r="H6" s="376" t="s">
        <v>188</v>
      </c>
      <c r="I6" s="359" t="s">
        <v>224</v>
      </c>
      <c r="J6" s="360">
        <f>'Baseline emissions'!$B126</f>
        <v>625638.3963135</v>
      </c>
      <c r="K6" s="360">
        <f>'Baseline emissions'!$B127</f>
        <v>1059109.7992251767</v>
      </c>
      <c r="L6" s="360">
        <f>'Baseline emissions'!$B128</f>
        <v>1102042.9069100567</v>
      </c>
      <c r="M6" s="360">
        <f>'Baseline emissions'!$B129</f>
        <v>1663575.4268780565</v>
      </c>
      <c r="N6" s="362">
        <f>'Baseline emissions'!$B130</f>
        <v>2128645.4992180564</v>
      </c>
    </row>
    <row r="7" spans="1:14" ht="15.75" thickBot="1">
      <c r="A7" s="363" t="s">
        <v>222</v>
      </c>
      <c r="B7" s="364" t="s">
        <v>225</v>
      </c>
      <c r="C7" s="365">
        <f>SUM(C6:F6)</f>
        <v>1645432.49947106</v>
      </c>
      <c r="D7" s="366"/>
      <c r="E7" s="366"/>
      <c r="F7" s="367"/>
      <c r="G7" s="357"/>
      <c r="H7" s="363" t="s">
        <v>321</v>
      </c>
      <c r="I7" s="364" t="s">
        <v>225</v>
      </c>
      <c r="J7" s="368">
        <f>J6+K6+L6+M6+N6</f>
        <v>6579012.028544847</v>
      </c>
      <c r="K7" s="369"/>
      <c r="L7" s="369"/>
      <c r="M7" s="369"/>
      <c r="N7" s="370"/>
    </row>
    <row r="8" spans="1:14" ht="15.75" thickBot="1">
      <c r="A8" s="377"/>
      <c r="B8" s="378"/>
      <c r="C8" s="378"/>
      <c r="D8" s="378"/>
      <c r="E8" s="379"/>
      <c r="F8" s="379"/>
      <c r="G8" s="357"/>
      <c r="H8" s="357"/>
      <c r="I8" s="357"/>
      <c r="J8" s="357"/>
      <c r="K8" s="357"/>
      <c r="L8" s="357"/>
      <c r="M8" s="357"/>
      <c r="N8" s="357"/>
    </row>
    <row r="9" spans="1:14" ht="15.75" thickBot="1">
      <c r="A9" s="380"/>
      <c r="B9" s="355"/>
      <c r="C9" s="356">
        <v>2004</v>
      </c>
      <c r="D9" s="356">
        <v>2005</v>
      </c>
      <c r="E9" s="356">
        <v>2006</v>
      </c>
      <c r="F9" s="356">
        <v>2007</v>
      </c>
      <c r="G9" s="357"/>
      <c r="H9" s="380"/>
      <c r="I9" s="355"/>
      <c r="J9" s="356">
        <v>2008</v>
      </c>
      <c r="K9" s="356">
        <v>2009</v>
      </c>
      <c r="L9" s="356">
        <v>2010</v>
      </c>
      <c r="M9" s="356">
        <v>2011</v>
      </c>
      <c r="N9" s="356">
        <v>2012</v>
      </c>
    </row>
    <row r="10" spans="1:14" ht="15">
      <c r="A10" s="381" t="s">
        <v>223</v>
      </c>
      <c r="B10" s="382" t="s">
        <v>224</v>
      </c>
      <c r="C10" s="383">
        <f>C6-C2</f>
        <v>34328.41989077212</v>
      </c>
      <c r="D10" s="383">
        <f>D6-D2</f>
        <v>33935.65392142875</v>
      </c>
      <c r="E10" s="384">
        <f>E6-E2</f>
        <v>428318.89303534303</v>
      </c>
      <c r="F10" s="384">
        <f>F6-F2</f>
        <v>963939.8121929679</v>
      </c>
      <c r="G10" s="357"/>
      <c r="H10" s="381" t="s">
        <v>223</v>
      </c>
      <c r="I10" s="382" t="s">
        <v>224</v>
      </c>
      <c r="J10" s="385">
        <f>J6-J2</f>
        <v>556770.3567019069</v>
      </c>
      <c r="K10" s="385">
        <f>K6-K2</f>
        <v>947668.1017185455</v>
      </c>
      <c r="L10" s="385">
        <f>L6-L2</f>
        <v>990601.2094034256</v>
      </c>
      <c r="M10" s="385">
        <f>M6-M2</f>
        <v>1490420.4092979454</v>
      </c>
      <c r="N10" s="386">
        <f>N6-N2</f>
        <v>1904062.7149100453</v>
      </c>
    </row>
    <row r="11" spans="1:14" ht="15.75" thickBot="1">
      <c r="A11" s="387" t="s">
        <v>73</v>
      </c>
      <c r="B11" s="388" t="s">
        <v>225</v>
      </c>
      <c r="C11" s="389">
        <f>E10+F10+C10+D10</f>
        <v>1460522.779040512</v>
      </c>
      <c r="D11" s="390"/>
      <c r="E11" s="390"/>
      <c r="F11" s="391"/>
      <c r="G11" s="357"/>
      <c r="H11" s="392" t="s">
        <v>73</v>
      </c>
      <c r="I11" s="393" t="s">
        <v>225</v>
      </c>
      <c r="J11" s="365">
        <f>SUM(J10:N10)</f>
        <v>5889522.792031869</v>
      </c>
      <c r="K11" s="366"/>
      <c r="L11" s="366"/>
      <c r="M11" s="366"/>
      <c r="N11" s="367"/>
    </row>
    <row r="12" spans="1:14" ht="15.75" thickBot="1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</row>
    <row r="13" spans="1:14" ht="15.75" thickBot="1">
      <c r="A13" s="380" t="s">
        <v>269</v>
      </c>
      <c r="B13" s="394" t="s">
        <v>225</v>
      </c>
      <c r="C13" s="395">
        <f>C11+J11</f>
        <v>7350045.571072381</v>
      </c>
      <c r="D13" s="396"/>
      <c r="E13" s="396"/>
      <c r="F13" s="397"/>
      <c r="G13" s="357"/>
      <c r="H13" s="357"/>
      <c r="I13" s="357"/>
      <c r="J13" s="357"/>
      <c r="K13" s="357"/>
      <c r="L13" s="357"/>
      <c r="M13" s="357"/>
      <c r="N13" s="357"/>
    </row>
    <row r="16" ht="12.75">
      <c r="B16" s="317"/>
    </row>
  </sheetData>
  <mergeCells count="7">
    <mergeCell ref="J3:N3"/>
    <mergeCell ref="J7:N7"/>
    <mergeCell ref="J11:N11"/>
    <mergeCell ref="C13:F13"/>
    <mergeCell ref="C7:F7"/>
    <mergeCell ref="C3:F3"/>
    <mergeCell ref="C11:F1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semeyka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valeriy</cp:lastModifiedBy>
  <cp:lastPrinted>2008-01-28T09:22:28Z</cp:lastPrinted>
  <dcterms:created xsi:type="dcterms:W3CDTF">2006-09-26T05:52:16Z</dcterms:created>
  <dcterms:modified xsi:type="dcterms:W3CDTF">2008-06-05T09:09:59Z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