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1720" windowHeight="18120" activeTab="0"/>
  </bookViews>
  <sheets>
    <sheet name="Input Parameters" sheetId="1" r:id="rId1"/>
    <sheet name="Cashflow1" sheetId="2" r:id="rId2"/>
    <sheet name="Financing" sheetId="3" r:id="rId3"/>
    <sheet name="Taxes" sheetId="4" r:id="rId4"/>
    <sheet name="Sensitivity_data" sheetId="5" r:id="rId5"/>
    <sheet name="Sensitivity_Diagram1" sheetId="6" r:id="rId6"/>
    <sheet name="Exchange" sheetId="7" r:id="rId7"/>
    <sheet name="Coal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<sst xmlns="http://schemas.openxmlformats.org/spreadsheetml/2006/main" count="195" uniqueCount="131">
  <si>
    <t>Investment</t>
  </si>
  <si>
    <t>Cashflow</t>
  </si>
  <si>
    <t>Revenues:</t>
  </si>
  <si>
    <t>Power</t>
  </si>
  <si>
    <t>Heat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</si>
  <si>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</si>
  <si>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</si>
  <si>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</si>
  <si>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</si>
  <si>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</si>
  <si>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</si>
  <si>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</si>
  <si>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</si>
  <si>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</si>
  <si>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</si>
  <si>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</si>
  <si>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</si>
  <si>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</si>
  <si>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</si>
  <si>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</si>
  <si>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</si>
  <si>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</si>
  <si>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</si>
  <si>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</si>
  <si>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</si>
  <si>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</si>
  <si>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</si>
  <si>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</si>
  <si>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</si>
  <si>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</si>
  <si>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</si>
  <si>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</si>
  <si>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</si>
  <si>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</si>
  <si>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</si>
  <si>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</si>
  <si>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</si>
  <si>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</si>
  <si>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Avoided CO2-Emissions by using Coal Mine Methane</t>
  </si>
  <si>
    <t>Efficiency
[%]</t>
  </si>
  <si>
    <t>Volume CH4 
[m3]</t>
  </si>
  <si>
    <t>Weight CH4 
[kg]</t>
  </si>
  <si>
    <t xml:space="preserve">GHP 21 in Calculation= 
because 1 t CH4 produces  2,75 t CO2 </t>
  </si>
  <si>
    <t>spec. Emissons
[kg CO2 / kWh]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</si>
  <si>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</si>
  <si>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</si>
  <si>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</si>
  <si>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</si>
  <si>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</si>
  <si>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</si>
  <si>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</si>
  <si>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</si>
  <si>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</si>
  <si>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</si>
  <si>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</si>
  <si>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</si>
  <si>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</si>
  <si>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</si>
  <si>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</si>
  <si>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</si>
  <si>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</si>
  <si>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</si>
  <si>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</si>
  <si>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↑</t>
  </si>
  <si>
    <t>cumulated</t>
  </si>
  <si>
    <t>Revenues from ERUs</t>
  </si>
  <si>
    <t>ERU Price [EUR/t]</t>
  </si>
  <si>
    <t>Rev. ERU</t>
  </si>
  <si>
    <t>Surplus ERU</t>
  </si>
  <si>
    <t>efficiency</t>
  </si>
  <si>
    <t>CO2eq [t]</t>
  </si>
  <si>
    <t>CO2-Equivalent by power generation 
(Avoided emissons in power stations)</t>
  </si>
  <si>
    <t>CO2-Equivalent by heat generation 
(Avoided emissions in heat plants)</t>
  </si>
  <si>
    <t>Capex flaring</t>
  </si>
  <si>
    <t>Opex total</t>
  </si>
  <si>
    <t>Cost/ Unit/ KWh</t>
  </si>
  <si>
    <t>Capex heat production</t>
  </si>
  <si>
    <t>firing capacity [MWh]</t>
  </si>
  <si>
    <t>produced power [MWh]</t>
  </si>
  <si>
    <t>power consumption</t>
  </si>
  <si>
    <t>produced heat
[kWh]</t>
  </si>
  <si>
    <t>gained enviromental effect in t CO2</t>
  </si>
  <si>
    <t>Opex CHP (EUR/kWh)</t>
  </si>
  <si>
    <t>ERU Volume</t>
  </si>
  <si>
    <t>ERU revenue</t>
  </si>
  <si>
    <t>Opex flaring (EUR/a)</t>
  </si>
  <si>
    <t>Economic Parameters incl. ERUs</t>
  </si>
  <si>
    <t>Opex heat production (EUR/a</t>
  </si>
  <si>
    <t>calorific value Methane 9,979 KWh/m3</t>
  </si>
  <si>
    <t>http://de.finance.yahoo.com</t>
  </si>
  <si>
    <t>Exchange rate UAH / EUR</t>
  </si>
  <si>
    <t>average value taken into account</t>
  </si>
  <si>
    <t>EUR/UAH</t>
  </si>
  <si>
    <t xml:space="preserve"> </t>
  </si>
  <si>
    <t>boilers</t>
  </si>
  <si>
    <t>piping</t>
  </si>
  <si>
    <t>UAH</t>
  </si>
  <si>
    <t>Capex piping</t>
  </si>
  <si>
    <t>Total cost</t>
  </si>
  <si>
    <t>coal price</t>
  </si>
  <si>
    <t>EUR/MWh</t>
  </si>
  <si>
    <t>IPCC 2006 Values</t>
  </si>
  <si>
    <t>Chapter</t>
  </si>
  <si>
    <t>TABLE</t>
  </si>
  <si>
    <t>Document:</t>
  </si>
  <si>
    <t>Other Bituminous Coal</t>
  </si>
  <si>
    <t>1 INTRODUCTION</t>
  </si>
  <si>
    <t>1.4 DATA COLLECTION ISSUES</t>
  </si>
  <si>
    <t>1.4.1 Activity data</t>
  </si>
  <si>
    <t>1.4.1.3 ACTIVITY DATA SOURCES</t>
  </si>
  <si>
    <t>TABLE 1.2 - DEFAULT NET CALORIFIC VALUES (NCVs) AND LOWER AND UPPER LIMITS OF THE 95% CONFIDENCE INTERVALS</t>
  </si>
  <si>
    <t>V2_1_Ch1_Introduction.pdf</t>
  </si>
  <si>
    <t>Net calorific value</t>
  </si>
  <si>
    <t>TJ/Gg</t>
  </si>
  <si>
    <t>MWh/t</t>
  </si>
  <si>
    <t xml:space="preserve">Anthracite </t>
  </si>
  <si>
    <t xml:space="preserve">Coking Coal </t>
  </si>
  <si>
    <t>value chosen</t>
  </si>
  <si>
    <t xml:space="preserve">Sub-Bituminous Coal </t>
  </si>
  <si>
    <t xml:space="preserve">Coal price </t>
  </si>
  <si>
    <t>UAH/t</t>
  </si>
  <si>
    <t>taken in first PDD version (TÜV-Nord)</t>
  </si>
  <si>
    <t>taken in second PDD version (TÜV-Süd)</t>
  </si>
  <si>
    <t>*) in the first PDD version a value of 7 MWh/t was given by the coal mine as average value, and has been taken into account</t>
  </si>
  <si>
    <t>Evidence document</t>
  </si>
  <si>
    <t>Inflation rate - customer index -</t>
  </si>
  <si>
    <t>Inflation rate</t>
  </si>
  <si>
    <t>year</t>
  </si>
  <si>
    <t>Source: CIA World Factbook - Version May 16, 2008</t>
  </si>
  <si>
    <t>run macro with Strg+Shift+G</t>
  </si>
  <si>
    <t>NPV (15 %)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</si>
</sst>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#,##0.000"/>
    <numFmt numFmtId="187" formatCode="0.0000000000"/>
    <numFmt numFmtId="188" formatCode="0.000000000"/>
    <numFmt numFmtId="189" formatCode="0.00000000"/>
    <numFmt numFmtId="190" formatCode="0.0000000"/>
    <numFmt numFmtId="191" formatCode="0.0%"/>
    <numFmt numFmtId="192" formatCode="0.00000000000"/>
    <numFmt numFmtId="193" formatCode="0.000%"/>
    <numFmt numFmtId="194" formatCode="mmmm\ yy"/>
    <numFmt numFmtId="195" formatCode="d/\ mmmm\ yyyy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[$-407]dddd\,\ d\.\ mmmm\ yyyy"/>
    <numFmt numFmtId="201" formatCode="[$-407]mmmm\ yy;@"/>
    <numFmt numFmtId="202" formatCode="_-* #,##0.0\ _D_M_-;\-* #,##0.0\ _D_M_-;_-* &quot;-&quot;??\ _D_M_-;_-@_-"/>
    <numFmt numFmtId="203" formatCode="_-* #,##0\ _D_M_-;\-* #,##0\ _D_M_-;_-* &quot;-&quot;??\ _D_M_-;_-@_-"/>
    <numFmt numFmtId="204" formatCode="#,##0.0000"/>
    <numFmt numFmtId="205" formatCode="mmm\ yyyy"/>
    <numFmt numFmtId="206" formatCode="0.0000%"/>
  </numFmts>
  <fonts count="15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3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9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0" fontId="3" fillId="4" borderId="0" xfId="0" applyFont="1" applyFill="1" applyAlignment="1">
      <alignment/>
    </xf>
    <xf numFmtId="0" fontId="3" fillId="8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7" borderId="4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19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3" fontId="1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 quotePrefix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18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0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191" fontId="0" fillId="2" borderId="0" xfId="19" applyNumberFormat="1" applyFont="1" applyFill="1" applyAlignment="1">
      <alignment/>
    </xf>
    <xf numFmtId="0" fontId="11" fillId="0" borderId="0" xfId="18" applyAlignment="1">
      <alignment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right"/>
    </xf>
    <xf numFmtId="2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10" fontId="0" fillId="0" borderId="0" xfId="0" applyNumberFormat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Utilisation of CMM:  Pivdennodonbaska No3, boilers + flare
ECO-Alliance OOO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775"/>
          <c:w val="0.833"/>
          <c:h val="0.717"/>
        </c:manualLayout>
      </c:layout>
      <c:scatterChart>
        <c:scatterStyle val="line"/>
        <c:varyColors val="0"/>
        <c:ser>
          <c:idx val="4"/>
          <c:order val="0"/>
          <c:tx>
            <c:strRef>
              <c:f>Sensitivity_data!$F$2</c:f>
              <c:strCache>
                <c:ptCount val="1"/>
                <c:pt idx="0">
                  <c:v>Opex ERU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40.984220102326965</c:v>
                </c:pt>
                <c:pt idx="1">
                  <c:v>38.69792276815463</c:v>
                </c:pt>
                <c:pt idx="2">
                  <c:v>36.61336740557459</c:v>
                </c:pt>
                <c:pt idx="3">
                  <c:v>34.70303064091736</c:v>
                </c:pt>
                <c:pt idx="4">
                  <c:v>32.9443654432183</c:v>
                </c:pt>
                <c:pt idx="5">
                  <c:v>31.318701862738475</c:v>
                </c:pt>
                <c:pt idx="6">
                  <c:v>29.81043044916929</c:v>
                </c:pt>
                <c:pt idx="7">
                  <c:v>28.40638634232333</c:v>
                </c:pt>
                <c:pt idx="8">
                  <c:v>27.095378287445683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Sensitivity_data!$E$2</c:f>
              <c:strCache>
                <c:ptCount val="1"/>
                <c:pt idx="0">
                  <c:v>Capex ERU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34.015744243605575</c:v>
                </c:pt>
                <c:pt idx="1">
                  <c:v>33.75005644779206</c:v>
                </c:pt>
                <c:pt idx="2">
                  <c:v>33.48295548230455</c:v>
                </c:pt>
                <c:pt idx="3">
                  <c:v>33.21440454666829</c:v>
                </c:pt>
                <c:pt idx="4">
                  <c:v>32.9443654432183</c:v>
                </c:pt>
                <c:pt idx="5">
                  <c:v>32.67279850295899</c:v>
                </c:pt>
                <c:pt idx="6">
                  <c:v>32.39966250632689</c:v>
                </c:pt>
                <c:pt idx="7">
                  <c:v>32.124914598423544</c:v>
                </c:pt>
                <c:pt idx="8">
                  <c:v>31.848510198242014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Sensitivity_data!$G$2</c:f>
              <c:strCache>
                <c:ptCount val="1"/>
                <c:pt idx="0">
                  <c:v>Production ERU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Sensitivity_data!$G$15:$G$23</c:f>
              <c:numCache>
                <c:ptCount val="9"/>
                <c:pt idx="0">
                  <c:v>24.547092920248197</c:v>
                </c:pt>
                <c:pt idx="1">
                  <c:v>26.788867146769512</c:v>
                </c:pt>
                <c:pt idx="2">
                  <c:v>28.910206899600166</c:v>
                </c:pt>
                <c:pt idx="3">
                  <c:v>30.9567827529859</c:v>
                </c:pt>
                <c:pt idx="4">
                  <c:v>32.9443654432183</c:v>
                </c:pt>
                <c:pt idx="5">
                  <c:v>34.87883021700532</c:v>
                </c:pt>
                <c:pt idx="6">
                  <c:v>36.765142105570824</c:v>
                </c:pt>
                <c:pt idx="7">
                  <c:v>38.607540942578616</c:v>
                </c:pt>
                <c:pt idx="8">
                  <c:v>40.409680862973026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Sensitivity_data!$C$2</c:f>
              <c:strCache>
                <c:ptCount val="1"/>
                <c:pt idx="0">
                  <c:v>Opex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Sensitivity_data!$C$15:$C$23</c:f>
              <c:numCache>
                <c:ptCount val="9"/>
                <c:pt idx="0">
                  <c:v>3.6639254108855166</c:v>
                </c:pt>
                <c:pt idx="1">
                  <c:v>2.8991458219539674</c:v>
                </c:pt>
                <c:pt idx="2">
                  <c:v>2.202357930686231</c:v>
                </c:pt>
                <c:pt idx="3">
                  <c:v>1.5664063830725792</c:v>
                </c:pt>
                <c:pt idx="4">
                  <c:v>0.9844883782358578</c:v>
                </c:pt>
                <c:pt idx="5">
                  <c:v>0.4521964227802245</c:v>
                </c:pt>
                <c:pt idx="6">
                  <c:v>-0.051872952528360425</c:v>
                </c:pt>
                <c:pt idx="7">
                  <c:v>-0.7281558410081805</c:v>
                </c:pt>
                <c:pt idx="8">
                  <c:v>-1.366503864148844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Sensitivity_data!$B$2</c:f>
              <c:strCache>
                <c:ptCount val="1"/>
                <c:pt idx="0">
                  <c:v>Capex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Sensitivity_data!$B$15:$B$23</c:f>
              <c:numCache>
                <c:ptCount val="9"/>
                <c:pt idx="0">
                  <c:v>2.9344560027773756</c:v>
                </c:pt>
                <c:pt idx="1">
                  <c:v>2.457932627846207</c:v>
                </c:pt>
                <c:pt idx="2">
                  <c:v>1.9730438802421153</c:v>
                </c:pt>
                <c:pt idx="3">
                  <c:v>1.4819085027297552</c:v>
                </c:pt>
                <c:pt idx="4">
                  <c:v>0.9844883782358578</c:v>
                </c:pt>
                <c:pt idx="5">
                  <c:v>0.48207569458181104</c:v>
                </c:pt>
                <c:pt idx="6">
                  <c:v>-0.03507231091576836</c:v>
                </c:pt>
                <c:pt idx="7">
                  <c:v>-0.8052904344817887</c:v>
                </c:pt>
                <c:pt idx="8">
                  <c:v>-1.6029694153083256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Sensitivity_data!$D$2</c:f>
              <c:strCache>
                <c:ptCount val="1"/>
                <c:pt idx="0">
                  <c:v>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Sensitivity_data!$D$15:$D$23</c:f>
              <c:numCache>
                <c:ptCount val="9"/>
                <c:pt idx="0">
                  <c:v>-5.571258881471205</c:v>
                </c:pt>
                <c:pt idx="1">
                  <c:v>-3.5908989619116745</c:v>
                </c:pt>
                <c:pt idx="2">
                  <c:v>-1.7860179485406875</c:v>
                </c:pt>
                <c:pt idx="3">
                  <c:v>-0.12020083232635029</c:v>
                </c:pt>
                <c:pt idx="4">
                  <c:v>0.9844883782358578</c:v>
                </c:pt>
                <c:pt idx="5">
                  <c:v>2.027714261968418</c:v>
                </c:pt>
                <c:pt idx="6">
                  <c:v>3.040467245521809</c:v>
                </c:pt>
                <c:pt idx="7">
                  <c:v>4.0191169353767435</c:v>
                </c:pt>
                <c:pt idx="8">
                  <c:v>4.963033647137769</c:v>
                </c:pt>
              </c:numCache>
            </c:numRef>
          </c:yVal>
          <c:smooth val="0"/>
        </c:ser>
        <c:axId val="58002096"/>
        <c:axId val="52256817"/>
      </c:scatterChart>
      <c:val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crossBetween val="midCat"/>
        <c:dispUnits/>
      </c:valAx>
      <c:valAx>
        <c:axId val="5225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5225"/>
          <c:w val="0.12"/>
          <c:h val="0.410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1009650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3</xdr:row>
      <xdr:rowOff>9525</xdr:rowOff>
    </xdr:from>
    <xdr:to>
      <xdr:col>7</xdr:col>
      <xdr:colOff>571500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95300"/>
          <a:ext cx="4876800" cy="2705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ission-Reductions-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-alt"/>
      <sheetName val="Kessel"/>
      <sheetName val="Calculation-neu"/>
      <sheetName val="CEF Coal"/>
      <sheetName val="figure"/>
    </sheetNames>
    <sheetDataSet>
      <sheetData sheetId="2">
        <row r="17">
          <cell r="E17">
            <v>64741.65900000001</v>
          </cell>
        </row>
        <row r="25">
          <cell r="E25">
            <v>7810.265173558439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e.finance.yahoo.com/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77"/>
  <sheetViews>
    <sheetView tabSelected="1" workbookViewId="0" topLeftCell="A13">
      <selection activeCell="E54" sqref="E54"/>
    </sheetView>
  </sheetViews>
  <sheetFormatPr defaultColWidth="11.42187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</cols>
  <sheetData>
    <row r="1" spans="1:5" ht="33.75" customHeight="1">
      <c r="A1" s="119" t="s">
        <v>38</v>
      </c>
      <c r="B1" s="120"/>
      <c r="C1" s="120"/>
      <c r="D1" s="120"/>
      <c r="E1" s="121"/>
    </row>
    <row r="2" spans="1:5" ht="15.75" customHeight="1">
      <c r="A2" s="69" t="s">
        <v>77</v>
      </c>
      <c r="B2" s="82" t="s">
        <v>39</v>
      </c>
      <c r="C2" s="1" t="s">
        <v>40</v>
      </c>
      <c r="D2" s="1" t="s">
        <v>41</v>
      </c>
      <c r="E2" s="1" t="s">
        <v>70</v>
      </c>
    </row>
    <row r="3" spans="1:5" ht="15" customHeight="1">
      <c r="A3" s="83"/>
      <c r="B3" s="13"/>
      <c r="C3" s="2">
        <f>D3*1000/0.717</f>
        <v>10892977.926859748</v>
      </c>
      <c r="D3" s="2">
        <f>'[1]Calculation-neu'!$E$25*E42</f>
        <v>7810.265173558439</v>
      </c>
      <c r="E3" s="62">
        <f>D3*18.25</f>
        <v>142537.33941744152</v>
      </c>
    </row>
    <row r="4" spans="1:5" ht="15" customHeight="1">
      <c r="A4" s="122" t="s">
        <v>42</v>
      </c>
      <c r="B4" s="123"/>
      <c r="C4" s="123"/>
      <c r="D4" s="123"/>
      <c r="E4" s="72">
        <v>18.25</v>
      </c>
    </row>
    <row r="5" spans="1:5" ht="29.25" customHeight="1">
      <c r="A5" s="124" t="s">
        <v>71</v>
      </c>
      <c r="B5" s="125"/>
      <c r="C5" s="125"/>
      <c r="D5" s="125"/>
      <c r="E5" s="126"/>
    </row>
    <row r="6" spans="1:5" ht="15" customHeight="1">
      <c r="A6" s="69" t="s">
        <v>78</v>
      </c>
      <c r="B6" s="1" t="s">
        <v>43</v>
      </c>
      <c r="C6" s="3"/>
      <c r="D6" s="3"/>
      <c r="E6" s="1" t="s">
        <v>70</v>
      </c>
    </row>
    <row r="7" spans="1:5" ht="15" customHeight="1">
      <c r="A7" s="2">
        <v>0</v>
      </c>
      <c r="B7" s="4">
        <v>0</v>
      </c>
      <c r="C7" s="3"/>
      <c r="D7" s="3"/>
      <c r="E7" s="62">
        <f>A7*B7</f>
        <v>0</v>
      </c>
    </row>
    <row r="8" spans="1:5" ht="15" customHeight="1">
      <c r="A8" s="62" t="s">
        <v>79</v>
      </c>
      <c r="B8" s="4"/>
      <c r="C8" s="3"/>
      <c r="D8" s="3"/>
      <c r="E8" s="62"/>
    </row>
    <row r="9" spans="1:5" ht="15" customHeight="1">
      <c r="A9" s="2">
        <v>0</v>
      </c>
      <c r="B9" s="4">
        <v>0</v>
      </c>
      <c r="C9" s="68"/>
      <c r="D9" s="68"/>
      <c r="E9" s="71">
        <f>A9*B9</f>
        <v>0</v>
      </c>
    </row>
    <row r="10" spans="1:5" ht="30.75" customHeight="1">
      <c r="A10" s="116" t="s">
        <v>72</v>
      </c>
      <c r="B10" s="117"/>
      <c r="C10" s="117"/>
      <c r="D10" s="117"/>
      <c r="E10" s="118"/>
    </row>
    <row r="11" spans="1:5" ht="15" customHeight="1">
      <c r="A11" s="70" t="s">
        <v>80</v>
      </c>
      <c r="B11" s="1" t="s">
        <v>43</v>
      </c>
      <c r="C11" s="3" t="s">
        <v>69</v>
      </c>
      <c r="D11" s="3"/>
      <c r="E11" s="1" t="s">
        <v>70</v>
      </c>
    </row>
    <row r="12" spans="1:5" ht="15" customHeight="1">
      <c r="A12" s="2">
        <f>'[1]Calculation-neu'!$E$17*E42</f>
        <v>64741.65900000001</v>
      </c>
      <c r="B12" s="13">
        <v>0.3406</v>
      </c>
      <c r="C12" s="105">
        <v>0.7349</v>
      </c>
      <c r="D12" s="3"/>
      <c r="E12" s="62">
        <f>A12*B12/C12</f>
        <v>30005.455239352294</v>
      </c>
    </row>
    <row r="13" spans="1:5" ht="15" customHeight="1">
      <c r="A13" s="73"/>
      <c r="B13" s="67"/>
      <c r="C13" s="67"/>
      <c r="D13" s="67"/>
      <c r="E13" s="74"/>
    </row>
    <row r="14" spans="1:5" ht="15" customHeight="1">
      <c r="A14" s="75" t="s">
        <v>88</v>
      </c>
      <c r="B14" s="76"/>
      <c r="C14" s="76"/>
      <c r="D14" s="76"/>
      <c r="E14" s="77"/>
    </row>
    <row r="15" spans="1:5" ht="15" customHeight="1" thickBot="1">
      <c r="A15" s="78"/>
      <c r="B15" s="76"/>
      <c r="C15" s="76"/>
      <c r="D15" s="76"/>
      <c r="E15" s="77"/>
    </row>
    <row r="16" spans="1:5" ht="15" customHeight="1">
      <c r="A16" s="79" t="s">
        <v>81</v>
      </c>
      <c r="B16" s="80"/>
      <c r="C16" s="80"/>
      <c r="D16" s="80"/>
      <c r="E16" s="81">
        <f>E3+E12</f>
        <v>172542.79465679382</v>
      </c>
    </row>
    <row r="17" ht="15" customHeight="1"/>
    <row r="19" spans="1:3" ht="15">
      <c r="A19" s="7" t="s">
        <v>2</v>
      </c>
      <c r="B19" s="6" t="s">
        <v>100</v>
      </c>
      <c r="C19" t="s">
        <v>14</v>
      </c>
    </row>
    <row r="20" ht="12.75">
      <c r="B20" s="6"/>
    </row>
    <row r="21" spans="1:3" ht="12.75">
      <c r="A21" t="s">
        <v>4</v>
      </c>
      <c r="B21" s="14">
        <f>Exchange!D28/Coal!C15</f>
        <v>2.61</v>
      </c>
      <c r="C21" s="5">
        <f>$A$12*B21</f>
        <v>168975.72999000002</v>
      </c>
    </row>
    <row r="22" spans="1:3" ht="12.75">
      <c r="A22" t="s">
        <v>3</v>
      </c>
      <c r="B22" s="96">
        <v>0</v>
      </c>
      <c r="C22" s="5">
        <f>$A$7*B22*1000</f>
        <v>0</v>
      </c>
    </row>
    <row r="23" spans="2:3" ht="12.75">
      <c r="B23" s="63"/>
      <c r="C23" s="5"/>
    </row>
    <row r="24" spans="1:2" ht="12.75">
      <c r="A24" s="6" t="s">
        <v>7</v>
      </c>
      <c r="B24" s="98" t="s">
        <v>8</v>
      </c>
    </row>
    <row r="25" ht="12.75">
      <c r="B25" s="98"/>
    </row>
    <row r="26" spans="1:3" ht="12.75">
      <c r="A26" t="s">
        <v>9</v>
      </c>
      <c r="B26" s="96">
        <v>2007</v>
      </c>
      <c r="C26" s="8"/>
    </row>
    <row r="27" spans="1:2" ht="12.75">
      <c r="A27" t="s">
        <v>10</v>
      </c>
      <c r="B27" s="96">
        <v>2008</v>
      </c>
    </row>
    <row r="28" spans="1:2" ht="12.75">
      <c r="A28" t="s">
        <v>11</v>
      </c>
      <c r="B28" s="96">
        <v>2017</v>
      </c>
    </row>
    <row r="29" ht="12.75">
      <c r="B29" s="66"/>
    </row>
    <row r="31" spans="1:5" ht="13.5" thickBot="1">
      <c r="A31" s="86"/>
      <c r="B31" s="86" t="s">
        <v>75</v>
      </c>
      <c r="C31" s="111" t="s">
        <v>98</v>
      </c>
      <c r="D31" s="86"/>
      <c r="E31" s="86"/>
    </row>
    <row r="32" spans="1:5" ht="12.75">
      <c r="A32" t="s">
        <v>73</v>
      </c>
      <c r="B32" s="85">
        <v>300000</v>
      </c>
      <c r="C32" s="5">
        <f>1*B32</f>
        <v>300000</v>
      </c>
      <c r="D32" t="s">
        <v>12</v>
      </c>
      <c r="E32" s="93" t="s">
        <v>58</v>
      </c>
    </row>
    <row r="33" spans="1:5" ht="12.75">
      <c r="A33" t="s">
        <v>76</v>
      </c>
      <c r="B33" s="104">
        <f>Exchange!D26</f>
        <v>840000</v>
      </c>
      <c r="C33" s="5">
        <f>1*B33</f>
        <v>840000</v>
      </c>
      <c r="D33" t="s">
        <v>12</v>
      </c>
      <c r="E33" s="94">
        <v>1</v>
      </c>
    </row>
    <row r="34" spans="1:4" ht="12.75">
      <c r="A34" s="99" t="s">
        <v>97</v>
      </c>
      <c r="B34" s="110">
        <f>Exchange!D27</f>
        <v>598500</v>
      </c>
      <c r="C34" s="100">
        <f>1*B34</f>
        <v>598500</v>
      </c>
      <c r="D34" s="60" t="s">
        <v>12</v>
      </c>
    </row>
    <row r="35" spans="1:4" ht="12.75">
      <c r="A35" s="6" t="s">
        <v>15</v>
      </c>
      <c r="B35" s="6"/>
      <c r="C35" s="88">
        <f>SUM(C32:C34)*$E$33</f>
        <v>1738500</v>
      </c>
      <c r="D35" t="s">
        <v>12</v>
      </c>
    </row>
    <row r="36" spans="1:5" ht="13.5" thickBot="1">
      <c r="A36" s="86"/>
      <c r="B36" s="87"/>
      <c r="C36" s="111" t="s">
        <v>13</v>
      </c>
      <c r="D36" s="86"/>
      <c r="E36" s="86"/>
    </row>
    <row r="37" spans="1:5" ht="12.75">
      <c r="A37" t="s">
        <v>85</v>
      </c>
      <c r="B37" s="84">
        <v>30000</v>
      </c>
      <c r="C37" s="5">
        <f>1*B37</f>
        <v>30000</v>
      </c>
      <c r="D37" t="s">
        <v>12</v>
      </c>
      <c r="E37" s="93" t="s">
        <v>59</v>
      </c>
    </row>
    <row r="38" spans="1:5" ht="12.75">
      <c r="A38" t="s">
        <v>87</v>
      </c>
      <c r="B38" s="84">
        <v>50000</v>
      </c>
      <c r="C38" s="5">
        <f>$B$38</f>
        <v>50000</v>
      </c>
      <c r="D38" t="s">
        <v>12</v>
      </c>
      <c r="E38" s="94">
        <v>1</v>
      </c>
    </row>
    <row r="39" spans="1:4" ht="12.75">
      <c r="A39" s="99" t="s">
        <v>82</v>
      </c>
      <c r="B39" s="101">
        <v>0</v>
      </c>
      <c r="C39" s="100">
        <f>A7*B39</f>
        <v>0</v>
      </c>
      <c r="D39" t="s">
        <v>12</v>
      </c>
    </row>
    <row r="40" spans="1:4" ht="12.75">
      <c r="A40" s="6" t="s">
        <v>74</v>
      </c>
      <c r="B40" s="89"/>
      <c r="C40" s="88">
        <f>SUM(C37:C39)*E38</f>
        <v>80000</v>
      </c>
      <c r="D40" t="s">
        <v>12</v>
      </c>
    </row>
    <row r="41" ht="12.75">
      <c r="E41" s="106" t="s">
        <v>57</v>
      </c>
    </row>
    <row r="42" ht="12.75">
      <c r="E42" s="94">
        <v>1</v>
      </c>
    </row>
    <row r="43" spans="1:2" ht="12.75">
      <c r="A43" t="s">
        <v>56</v>
      </c>
      <c r="B43" s="96">
        <v>10</v>
      </c>
    </row>
    <row r="44" spans="1:2" ht="12.75">
      <c r="A44" t="s">
        <v>16</v>
      </c>
      <c r="B44" s="97">
        <v>0</v>
      </c>
    </row>
    <row r="45" spans="1:2" ht="12.75">
      <c r="A45" t="s">
        <v>46</v>
      </c>
      <c r="B45" s="97">
        <v>0</v>
      </c>
    </row>
    <row r="46" spans="1:2" ht="12.75">
      <c r="A46" t="s">
        <v>47</v>
      </c>
      <c r="B46" s="96">
        <v>0</v>
      </c>
    </row>
    <row r="47" spans="1:2" ht="12.75">
      <c r="A47" t="s">
        <v>27</v>
      </c>
      <c r="B47" s="97">
        <v>0.33</v>
      </c>
    </row>
    <row r="48" spans="1:2" ht="12.75">
      <c r="A48" t="s">
        <v>48</v>
      </c>
      <c r="B48" s="107">
        <v>0.135</v>
      </c>
    </row>
    <row r="50" spans="1:3" ht="12.75">
      <c r="A50" s="35" t="s">
        <v>86</v>
      </c>
      <c r="B50" s="35"/>
      <c r="C50" s="35"/>
    </row>
    <row r="51" spans="1:5" ht="12.75">
      <c r="A51" s="32" t="str">
        <f>Cashflow1!M26</f>
        <v>IRR</v>
      </c>
      <c r="B51" s="33">
        <f>Cashflow1!N26*100</f>
        <v>32.9443654432183</v>
      </c>
      <c r="C51" s="32" t="s">
        <v>20</v>
      </c>
      <c r="D51" s="6" t="s">
        <v>65</v>
      </c>
      <c r="E51" s="5">
        <f>E60</f>
        <v>1121528.1652691597</v>
      </c>
    </row>
    <row r="52" spans="1:5" ht="12.75">
      <c r="A52" s="32" t="str">
        <f>Cashflow1!M27</f>
        <v>NPV (0 %)</v>
      </c>
      <c r="B52" s="34">
        <f>Cashflow1!N27</f>
        <v>3869271.9440821456</v>
      </c>
      <c r="C52" s="32" t="s">
        <v>12</v>
      </c>
      <c r="D52" s="6" t="s">
        <v>83</v>
      </c>
      <c r="E52" s="95">
        <f>E16</f>
        <v>172542.79465679382</v>
      </c>
    </row>
    <row r="53" spans="1:5" ht="12.75">
      <c r="A53" s="32" t="str">
        <f>Cashflow1!M28</f>
        <v>NPV (15 %)</v>
      </c>
      <c r="B53" s="34">
        <f>Cashflow1!N28</f>
        <v>1123515.0167215262</v>
      </c>
      <c r="C53" s="32" t="s">
        <v>12</v>
      </c>
      <c r="D53" s="6" t="s">
        <v>66</v>
      </c>
      <c r="E53" s="14">
        <v>6.5</v>
      </c>
    </row>
    <row r="54" ht="12.75">
      <c r="D54" s="66"/>
    </row>
    <row r="56" spans="4:6" ht="12.75">
      <c r="D56" s="102" t="s">
        <v>8</v>
      </c>
      <c r="E56" s="103" t="s">
        <v>84</v>
      </c>
      <c r="F56" s="6"/>
    </row>
    <row r="57" spans="4:5" ht="13.5" thickBot="1">
      <c r="D57">
        <f>B26</f>
        <v>2007</v>
      </c>
      <c r="E57" s="104">
        <v>0</v>
      </c>
    </row>
    <row r="58" spans="1:5" ht="13.5" thickBot="1">
      <c r="A58" s="41" t="s">
        <v>129</v>
      </c>
      <c r="B58" s="40"/>
      <c r="D58">
        <f>IF(D57=0,0,IF(D57&lt;=$B$28,D57+1,0))</f>
        <v>2008</v>
      </c>
      <c r="E58" s="104">
        <f aca="true" t="shared" si="0" ref="E58:E63">IF(D58&lt;=2008,0,$E$52*$E$53)</f>
        <v>0</v>
      </c>
    </row>
    <row r="59" spans="4:5" ht="12.75">
      <c r="D59">
        <f aca="true" t="shared" si="1" ref="D59:D67">IF(D58=0,0,IF(D58&lt;=$B$28,D58+1,0))</f>
        <v>2009</v>
      </c>
      <c r="E59" s="104">
        <f t="shared" si="0"/>
        <v>1121528.1652691597</v>
      </c>
    </row>
    <row r="60" spans="1:5" ht="12.75">
      <c r="A60" s="60"/>
      <c r="B60" s="60"/>
      <c r="D60">
        <f t="shared" si="1"/>
        <v>2010</v>
      </c>
      <c r="E60" s="104">
        <f t="shared" si="0"/>
        <v>1121528.1652691597</v>
      </c>
    </row>
    <row r="61" spans="1:5" ht="12.75">
      <c r="A61" s="60"/>
      <c r="B61" s="61"/>
      <c r="D61">
        <f t="shared" si="1"/>
        <v>2011</v>
      </c>
      <c r="E61" s="104">
        <f t="shared" si="0"/>
        <v>1121528.1652691597</v>
      </c>
    </row>
    <row r="62" spans="4:6" ht="12.75">
      <c r="D62">
        <f t="shared" si="1"/>
        <v>2012</v>
      </c>
      <c r="E62" s="104">
        <f t="shared" si="0"/>
        <v>1121528.1652691597</v>
      </c>
      <c r="F62" s="12"/>
    </row>
    <row r="63" spans="4:6" ht="12.75">
      <c r="D63">
        <f t="shared" si="1"/>
        <v>2013</v>
      </c>
      <c r="E63" s="104">
        <f t="shared" si="0"/>
        <v>1121528.1652691597</v>
      </c>
      <c r="F63" s="12"/>
    </row>
    <row r="64" spans="4:6" ht="12.75">
      <c r="D64">
        <f t="shared" si="1"/>
        <v>2014</v>
      </c>
      <c r="E64" s="104">
        <v>0</v>
      </c>
      <c r="F64" s="12"/>
    </row>
    <row r="65" spans="1:6" ht="12.75">
      <c r="A65" s="60"/>
      <c r="B65" s="61"/>
      <c r="C65" s="60"/>
      <c r="D65">
        <f t="shared" si="1"/>
        <v>2015</v>
      </c>
      <c r="E65" s="104">
        <v>0</v>
      </c>
      <c r="F65" s="12"/>
    </row>
    <row r="66" spans="1:6" ht="12.75">
      <c r="A66" s="60"/>
      <c r="B66" s="60"/>
      <c r="C66" s="60"/>
      <c r="D66">
        <f t="shared" si="1"/>
        <v>2016</v>
      </c>
      <c r="E66" s="104">
        <v>0</v>
      </c>
      <c r="F66" s="12"/>
    </row>
    <row r="67" spans="1:6" ht="12.75">
      <c r="A67" s="60"/>
      <c r="B67" s="60"/>
      <c r="C67" s="60"/>
      <c r="D67">
        <f t="shared" si="1"/>
        <v>2017</v>
      </c>
      <c r="E67" s="104">
        <v>0</v>
      </c>
      <c r="F67" s="12"/>
    </row>
    <row r="68" spans="5:6" ht="12.75">
      <c r="E68" s="104"/>
      <c r="F68" s="12"/>
    </row>
    <row r="69" spans="5:6" ht="12.75">
      <c r="E69" s="104"/>
      <c r="F69" s="12"/>
    </row>
    <row r="70" spans="4:6" ht="12.75">
      <c r="D70" s="90"/>
      <c r="E70" s="91"/>
      <c r="F70" s="92"/>
    </row>
    <row r="71" spans="4:6" ht="12.75">
      <c r="D71" s="90"/>
      <c r="E71" s="91"/>
      <c r="F71" s="92"/>
    </row>
    <row r="72" spans="4:6" ht="12.75">
      <c r="D72" s="90"/>
      <c r="E72" s="91"/>
      <c r="F72" s="92"/>
    </row>
    <row r="73" spans="4:6" ht="12.75">
      <c r="D73" s="90"/>
      <c r="E73" s="91"/>
      <c r="F73" s="92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0:E10"/>
    <mergeCell ref="A1:E1"/>
    <mergeCell ref="A4:D4"/>
    <mergeCell ref="A5:E5"/>
  </mergeCells>
  <printOptions/>
  <pageMargins left="0.75" right="0.75" top="1" bottom="1" header="0.4921259845" footer="0.4921259845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T28"/>
  <sheetViews>
    <sheetView workbookViewId="0" topLeftCell="A1">
      <selection activeCell="A2" sqref="A2:I15"/>
    </sheetView>
  </sheetViews>
  <sheetFormatPr defaultColWidth="11.42187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8515625" style="0" customWidth="1"/>
    <col min="14" max="14" width="15.140625" style="0" bestFit="1" customWidth="1"/>
  </cols>
  <sheetData>
    <row r="2" spans="1:16" ht="12.75">
      <c r="A2" s="15"/>
      <c r="B2" s="16"/>
      <c r="C2" s="16"/>
      <c r="D2" s="16"/>
      <c r="E2" s="17" t="s">
        <v>45</v>
      </c>
      <c r="F2" s="16"/>
      <c r="G2" s="16"/>
      <c r="H2" s="16"/>
      <c r="I2" s="18"/>
      <c r="J2" s="18"/>
      <c r="K2" s="15"/>
      <c r="L2" s="17" t="s">
        <v>17</v>
      </c>
      <c r="M2" s="17" t="s">
        <v>17</v>
      </c>
      <c r="N2" s="17" t="s">
        <v>1</v>
      </c>
      <c r="O2" s="17" t="s">
        <v>1</v>
      </c>
      <c r="P2" s="28" t="s">
        <v>36</v>
      </c>
    </row>
    <row r="3" spans="1:16" ht="12.75">
      <c r="A3" s="19" t="s">
        <v>8</v>
      </c>
      <c r="B3" s="20" t="s">
        <v>0</v>
      </c>
      <c r="C3" s="20" t="s">
        <v>31</v>
      </c>
      <c r="D3" s="20" t="s">
        <v>16</v>
      </c>
      <c r="E3" s="20" t="s">
        <v>54</v>
      </c>
      <c r="F3" s="20" t="s">
        <v>21</v>
      </c>
      <c r="G3" s="20" t="s">
        <v>5</v>
      </c>
      <c r="H3" s="20" t="s">
        <v>6</v>
      </c>
      <c r="I3" s="21" t="s">
        <v>67</v>
      </c>
      <c r="J3" s="21" t="s">
        <v>68</v>
      </c>
      <c r="K3" s="19" t="s">
        <v>8</v>
      </c>
      <c r="L3" s="20" t="s">
        <v>18</v>
      </c>
      <c r="M3" s="20" t="s">
        <v>19</v>
      </c>
      <c r="N3" s="20" t="s">
        <v>44</v>
      </c>
      <c r="O3" s="20" t="s">
        <v>64</v>
      </c>
      <c r="P3" s="21" t="s">
        <v>37</v>
      </c>
    </row>
    <row r="4" spans="1:16" ht="12.75">
      <c r="A4" s="22"/>
      <c r="B4" s="23" t="s">
        <v>12</v>
      </c>
      <c r="C4" s="23" t="s">
        <v>12</v>
      </c>
      <c r="D4" s="23" t="s">
        <v>12</v>
      </c>
      <c r="E4" s="23" t="s">
        <v>12</v>
      </c>
      <c r="F4" s="23" t="s">
        <v>12</v>
      </c>
      <c r="G4" s="23" t="s">
        <v>12</v>
      </c>
      <c r="H4" s="23" t="s">
        <v>12</v>
      </c>
      <c r="I4" s="24" t="s">
        <v>12</v>
      </c>
      <c r="J4" s="24" t="s">
        <v>12</v>
      </c>
      <c r="K4" s="22"/>
      <c r="L4" s="23" t="s">
        <v>12</v>
      </c>
      <c r="M4" s="23" t="s">
        <v>12</v>
      </c>
      <c r="N4" s="23" t="s">
        <v>12</v>
      </c>
      <c r="O4" s="23" t="s">
        <v>12</v>
      </c>
      <c r="P4" s="24" t="s">
        <v>12</v>
      </c>
    </row>
    <row r="5" spans="1:16" ht="12.75">
      <c r="A5" s="27">
        <f>'Input Parameters'!$B$26</f>
        <v>2007</v>
      </c>
      <c r="B5" s="25">
        <f>IF(A5='Input Parameters'!$B$26,'Input Parameters'!$C$35,0)</f>
        <v>1738500</v>
      </c>
      <c r="C5" s="25">
        <f>IF(A5&gt;='Input Parameters'!$B$27,'Input Parameters'!$C$40,0)*(1+'Input Parameters'!$B$48)^(A5-'Input Parameters'!$B$26)*3/12</f>
        <v>0</v>
      </c>
      <c r="D5" s="25">
        <f>Financing!E8</f>
        <v>0</v>
      </c>
      <c r="E5" s="25">
        <f>Financing!C8</f>
        <v>0</v>
      </c>
      <c r="F5" s="25">
        <f>Taxes!J8</f>
        <v>0</v>
      </c>
      <c r="G5" s="26">
        <v>0</v>
      </c>
      <c r="H5" s="26">
        <f>(IF(A5&gt;='Input Parameters'!$B$27,'Input Parameters'!$C$21,0))/12*3</f>
        <v>0</v>
      </c>
      <c r="I5" s="26">
        <f>'Input Parameters'!E57</f>
        <v>0</v>
      </c>
      <c r="J5" s="26">
        <f>'Input Parameters'!F57</f>
        <v>0</v>
      </c>
      <c r="K5" s="27">
        <f>'Input Parameters'!$B$26</f>
        <v>2007</v>
      </c>
      <c r="L5" s="25">
        <f>SUM(B5:F5)-E5-D5</f>
        <v>1738500</v>
      </c>
      <c r="M5" s="26">
        <f>SUM(G5:J5)</f>
        <v>0</v>
      </c>
      <c r="N5" s="64">
        <f>M5-L5</f>
        <v>-1738500</v>
      </c>
      <c r="O5" s="64">
        <f>N5</f>
        <v>-1738500</v>
      </c>
      <c r="P5" s="64"/>
    </row>
    <row r="6" spans="1:16" ht="12.75">
      <c r="A6" s="27">
        <f>IF(A5&lt;100,0,IF('Input Parameters'!$B$28=A5,0,A5+1))</f>
        <v>2008</v>
      </c>
      <c r="B6" s="25">
        <f>IF(A6='Input Parameters'!$B$26,'Input Parameters'!$C$35,0)</f>
        <v>0</v>
      </c>
      <c r="C6" s="25">
        <f>IF(A6&gt;='Input Parameters'!$B$27,'Input Parameters'!$C$40,0)*(1+'Input Parameters'!$B$48)^(A6-'Input Parameters'!$B$26)</f>
        <v>90800</v>
      </c>
      <c r="D6" s="25">
        <f>Financing!E9</f>
        <v>0</v>
      </c>
      <c r="E6" s="25">
        <f>Financing!C9</f>
        <v>0</v>
      </c>
      <c r="F6" s="25">
        <f>Taxes!J9</f>
        <v>0</v>
      </c>
      <c r="G6" s="26">
        <v>0</v>
      </c>
      <c r="H6" s="26">
        <f>(IF(A6&gt;='Input Parameters'!$B$27,'Input Parameters'!$C$21,0))*(1+'Input Parameters'!$B$48)^(A6-'Input Parameters'!$B$26)</f>
        <v>191787.45353865004</v>
      </c>
      <c r="I6" s="26">
        <f>'Input Parameters'!E58</f>
        <v>0</v>
      </c>
      <c r="J6" s="26">
        <f>'Input Parameters'!F58</f>
        <v>0</v>
      </c>
      <c r="K6" s="27">
        <f>IF(K5&lt;100,0,IF('Input Parameters'!$B$28=K5,0,K5+1))</f>
        <v>2008</v>
      </c>
      <c r="L6" s="25">
        <f aca="true" t="shared" si="0" ref="L6:L15">SUM(B6:F6)-E6-D6</f>
        <v>90800</v>
      </c>
      <c r="M6" s="26">
        <f aca="true" t="shared" si="1" ref="M6:M19">SUM(G6:J6)</f>
        <v>191787.45353865004</v>
      </c>
      <c r="N6" s="64">
        <f aca="true" t="shared" si="2" ref="N6:N19">M6-L6</f>
        <v>100987.45353865004</v>
      </c>
      <c r="O6" s="64">
        <f>IF(A5=0,0,O5+N6)</f>
        <v>-1637512.54646135</v>
      </c>
      <c r="P6" s="64">
        <f>+N6-E6</f>
        <v>100987.45353865004</v>
      </c>
    </row>
    <row r="7" spans="1:16" ht="12.75">
      <c r="A7" s="27">
        <f>IF(A6&lt;100,0,IF('Input Parameters'!$B$28=A6,0,A6+1))</f>
        <v>2009</v>
      </c>
      <c r="B7" s="25">
        <f>IF(A7='Input Parameters'!$B$26,'Input Parameters'!$C$35,0)</f>
        <v>0</v>
      </c>
      <c r="C7" s="25">
        <f>IF(A7&gt;='Input Parameters'!$B$27,'Input Parameters'!$C$40,0)*(1+'Input Parameters'!$B$48)^(A7-'Input Parameters'!$B$26)</f>
        <v>103058</v>
      </c>
      <c r="D7" s="25">
        <f>Financing!E10</f>
        <v>0</v>
      </c>
      <c r="E7" s="25">
        <f>Financing!C10</f>
        <v>0</v>
      </c>
      <c r="F7" s="25">
        <f>Taxes!J10</f>
        <v>326514.0049294786</v>
      </c>
      <c r="G7" s="26">
        <f>IF(A7&gt;='Input Parameters'!$B$27,'Input Parameters'!$C$22,0)</f>
        <v>0</v>
      </c>
      <c r="H7" s="26">
        <f>(IF(A7&gt;='Input Parameters'!$B$27,'Input Parameters'!$C$21,0))*(1+'Input Parameters'!$B$48)^(A7-'Input Parameters'!$B$26)</f>
        <v>217678.75976636776</v>
      </c>
      <c r="I7" s="26">
        <f>'Input Parameters'!E59</f>
        <v>1121528.1652691597</v>
      </c>
      <c r="J7" s="26">
        <f>'Input Parameters'!F59</f>
        <v>0</v>
      </c>
      <c r="K7" s="27">
        <f>IF(K6&lt;100,0,IF('Input Parameters'!$B$28=K6,0,K6+1))</f>
        <v>2009</v>
      </c>
      <c r="L7" s="25">
        <f t="shared" si="0"/>
        <v>429572.0049294786</v>
      </c>
      <c r="M7" s="26">
        <f t="shared" si="1"/>
        <v>1339206.9250355274</v>
      </c>
      <c r="N7" s="64">
        <f t="shared" si="2"/>
        <v>909634.9201060489</v>
      </c>
      <c r="O7" s="64">
        <f aca="true" t="shared" si="3" ref="O7:O24">IF(A6=0,0,O6+N7)</f>
        <v>-727877.6263553011</v>
      </c>
      <c r="P7" s="64">
        <f aca="true" t="shared" si="4" ref="P7:P19">+N7-E7</f>
        <v>909634.9201060489</v>
      </c>
    </row>
    <row r="8" spans="1:16" ht="12.75">
      <c r="A8" s="27">
        <f>IF(A7&lt;100,0,IF('Input Parameters'!$B$28=A7,0,A7+1))</f>
        <v>2010</v>
      </c>
      <c r="B8" s="25">
        <f>IF(A8='Input Parameters'!$B$26,'Input Parameters'!$C$35,0)</f>
        <v>0</v>
      </c>
      <c r="C8" s="25">
        <f>IF(A8&gt;='Input Parameters'!$B$27,'Input Parameters'!$C$40,0)*(1+'Input Parameters'!$B$48)^(A8-'Input Parameters'!$B$26)</f>
        <v>116970.82999999999</v>
      </c>
      <c r="D8" s="25">
        <f>Financing!E11</f>
        <v>0</v>
      </c>
      <c r="E8" s="25">
        <f>Financing!C11</f>
        <v>0</v>
      </c>
      <c r="F8" s="25">
        <f>Taxes!J11</f>
        <v>355665.00010931573</v>
      </c>
      <c r="G8" s="26">
        <f>IF(A8&gt;='Input Parameters'!$B$27,'Input Parameters'!$C$22,0)</f>
        <v>0</v>
      </c>
      <c r="H8" s="26">
        <f>(IF(A8&gt;='Input Parameters'!$B$27,'Input Parameters'!$C$21,0))*(1+'Input Parameters'!$B$48)^(A8-'Input Parameters'!$B$26)</f>
        <v>247065.39233482743</v>
      </c>
      <c r="I8" s="26">
        <f>'Input Parameters'!E60</f>
        <v>1121528.1652691597</v>
      </c>
      <c r="J8" s="26">
        <f>'Input Parameters'!F60</f>
        <v>0</v>
      </c>
      <c r="K8" s="27">
        <f>IF(K7&lt;100,0,IF('Input Parameters'!$B$28=K7,0,K7+1))</f>
        <v>2010</v>
      </c>
      <c r="L8" s="25">
        <f t="shared" si="0"/>
        <v>472635.8301093157</v>
      </c>
      <c r="M8" s="26">
        <f t="shared" si="1"/>
        <v>1368593.5576039872</v>
      </c>
      <c r="N8" s="64">
        <f t="shared" si="2"/>
        <v>895957.7274946715</v>
      </c>
      <c r="O8" s="64">
        <f t="shared" si="3"/>
        <v>168080.10113937035</v>
      </c>
      <c r="P8" s="64">
        <f t="shared" si="4"/>
        <v>895957.7274946715</v>
      </c>
    </row>
    <row r="9" spans="1:16" ht="12.75">
      <c r="A9" s="27">
        <f>IF(A8&lt;100,0,IF('Input Parameters'!$B$28=A8,0,A8+1))</f>
        <v>2011</v>
      </c>
      <c r="B9" s="25">
        <f>IF(A9='Input Parameters'!$B$26,'Input Parameters'!$C$35,0)</f>
        <v>0</v>
      </c>
      <c r="C9" s="25">
        <f>IF(A9&gt;='Input Parameters'!$B$27,'Input Parameters'!$C$40,0)*(1+'Input Parameters'!$B$48)^(A9-'Input Parameters'!$B$26)</f>
        <v>132761.89205</v>
      </c>
      <c r="D9" s="25">
        <f>Financing!E12</f>
        <v>0</v>
      </c>
      <c r="E9" s="25">
        <f>Financing!C12</f>
        <v>0</v>
      </c>
      <c r="F9" s="25">
        <f>Taxes!J12</f>
        <v>361460.71286133234</v>
      </c>
      <c r="G9" s="26">
        <f>IF(A9&gt;='Input Parameters'!$B$27,'Input Parameters'!$C$22,0)</f>
        <v>0</v>
      </c>
      <c r="H9" s="26">
        <f>(IF(A9&gt;='Input Parameters'!$B$27,'Input Parameters'!$C$21,0))*(1+'Input Parameters'!$B$48)^(A9-'Input Parameters'!$B$26)</f>
        <v>280419.22030002915</v>
      </c>
      <c r="I9" s="26">
        <f>'Input Parameters'!E61</f>
        <v>1121528.1652691597</v>
      </c>
      <c r="J9" s="26">
        <f>'Input Parameters'!F61</f>
        <v>0</v>
      </c>
      <c r="K9" s="27">
        <f>IF(K8&lt;100,0,IF('Input Parameters'!$B$28=K8,0,K8+1))</f>
        <v>2011</v>
      </c>
      <c r="L9" s="25">
        <f t="shared" si="0"/>
        <v>494222.60491133237</v>
      </c>
      <c r="M9" s="26">
        <f t="shared" si="1"/>
        <v>1401947.3855691887</v>
      </c>
      <c r="N9" s="64">
        <f t="shared" si="2"/>
        <v>907724.7806578564</v>
      </c>
      <c r="O9" s="64">
        <f t="shared" si="3"/>
        <v>1075804.8817972266</v>
      </c>
      <c r="P9" s="64">
        <f t="shared" si="4"/>
        <v>907724.7806578564</v>
      </c>
    </row>
    <row r="10" spans="1:16" ht="12.75">
      <c r="A10" s="27">
        <f>IF(A9&lt;100,0,IF('Input Parameters'!$B$28=A9,0,A9+1))</f>
        <v>2012</v>
      </c>
      <c r="B10" s="25">
        <f>IF(A10='Input Parameters'!$B$26,'Input Parameters'!$C$35,0)</f>
        <v>0</v>
      </c>
      <c r="C10" s="25">
        <f>IF(A10&gt;='Input Parameters'!$B$27,'Input Parameters'!$C$40,0)*(1+'Input Parameters'!$B$48)^(A10-'Input Parameters'!$B$26)</f>
        <v>150684.74747675</v>
      </c>
      <c r="D10" s="25">
        <f>Financing!E13</f>
        <v>0</v>
      </c>
      <c r="E10" s="25">
        <f>Financing!C13</f>
        <v>0</v>
      </c>
      <c r="F10" s="25">
        <f>Taxes!J13</f>
        <v>368038.8468348711</v>
      </c>
      <c r="G10" s="26">
        <f>IF(A10&gt;='Input Parameters'!$B$27,'Input Parameters'!$C$22,0)</f>
        <v>0</v>
      </c>
      <c r="H10" s="26">
        <f>(IF(A10&gt;='Input Parameters'!$B$27,'Input Parameters'!$C$21,0))*(1+'Input Parameters'!$B$48)^(A10-'Input Parameters'!$B$26)</f>
        <v>318275.815040533</v>
      </c>
      <c r="I10" s="26">
        <f>'Input Parameters'!E62</f>
        <v>1121528.1652691597</v>
      </c>
      <c r="J10" s="26">
        <f>'Input Parameters'!F62</f>
        <v>0</v>
      </c>
      <c r="K10" s="27">
        <f>IF(K9&lt;100,0,IF('Input Parameters'!$B$28=K9,0,K9+1))</f>
        <v>2012</v>
      </c>
      <c r="L10" s="25">
        <f t="shared" si="0"/>
        <v>518723.5943116211</v>
      </c>
      <c r="M10" s="26">
        <f t="shared" si="1"/>
        <v>1439803.9803096927</v>
      </c>
      <c r="N10" s="64">
        <f t="shared" si="2"/>
        <v>921080.3859980716</v>
      </c>
      <c r="O10" s="64">
        <f t="shared" si="3"/>
        <v>1996885.2677952982</v>
      </c>
      <c r="P10" s="64">
        <f t="shared" si="4"/>
        <v>921080.3859980716</v>
      </c>
    </row>
    <row r="11" spans="1:16" ht="12.75">
      <c r="A11" s="27">
        <f>IF(A10&lt;100,0,IF('Input Parameters'!$B$28=A10,0,A10+1))</f>
        <v>2013</v>
      </c>
      <c r="B11" s="25">
        <f>IF(A11='Input Parameters'!$B$26,'Input Parameters'!$C$35,0)</f>
        <v>0</v>
      </c>
      <c r="C11" s="25">
        <f>IF(A11&gt;='Input Parameters'!$B$27,'Input Parameters'!$C$40,0)*(1+'Input Parameters'!$B$48)^(A11-'Input Parameters'!$B$26)</f>
        <v>171027.18838611126</v>
      </c>
      <c r="D11" s="25">
        <f>Financing!E14</f>
        <v>0</v>
      </c>
      <c r="E11" s="25">
        <f>Financing!C14</f>
        <v>0</v>
      </c>
      <c r="F11" s="25">
        <f>Taxes!J14</f>
        <v>375505.02889483765</v>
      </c>
      <c r="G11" s="26">
        <f>IF(A11&gt;='Input Parameters'!$B$27,'Input Parameters'!$C$22,0)</f>
        <v>0</v>
      </c>
      <c r="H11" s="26">
        <f>(IF(A11&gt;='Input Parameters'!$B$27,'Input Parameters'!$C$21,0))*(1+'Input Parameters'!$B$48)^(A11-'Input Parameters'!$B$26)</f>
        <v>361243.050071005</v>
      </c>
      <c r="I11" s="26">
        <f>'Input Parameters'!E63</f>
        <v>1121528.1652691597</v>
      </c>
      <c r="J11" s="26">
        <f>'Input Parameters'!F63</f>
        <v>0</v>
      </c>
      <c r="K11" s="27">
        <f>IF(K10&lt;100,0,IF('Input Parameters'!$B$28=K10,0,K10+1))</f>
        <v>2013</v>
      </c>
      <c r="L11" s="25">
        <f t="shared" si="0"/>
        <v>546532.2172809489</v>
      </c>
      <c r="M11" s="26">
        <f t="shared" si="1"/>
        <v>1482771.2153401647</v>
      </c>
      <c r="N11" s="64">
        <f t="shared" si="2"/>
        <v>936238.9980592158</v>
      </c>
      <c r="O11" s="64">
        <f t="shared" si="3"/>
        <v>2933124.265854514</v>
      </c>
      <c r="P11" s="64">
        <f t="shared" si="4"/>
        <v>936238.9980592158</v>
      </c>
    </row>
    <row r="12" spans="1:16" ht="12.75">
      <c r="A12" s="27">
        <f>IF(A11&lt;100,0,IF('Input Parameters'!$B$28=A11,0,A11+1))</f>
        <v>2014</v>
      </c>
      <c r="B12" s="25">
        <f>IF(A12='Input Parameters'!$B$26,'Input Parameters'!$C$35,0)</f>
        <v>0</v>
      </c>
      <c r="C12" s="25">
        <f>IF(A12&gt;='Input Parameters'!$B$27,'Input Parameters'!$C$40,0)*(1+'Input Parameters'!$B$48)^(A12-'Input Parameters'!$B$26)</f>
        <v>194115.85881823627</v>
      </c>
      <c r="D12" s="25">
        <f>Financing!E15</f>
        <v>0</v>
      </c>
      <c r="E12" s="25">
        <f>Financing!C15</f>
        <v>0</v>
      </c>
      <c r="F12" s="25">
        <f>Taxes!J15</f>
        <v>13874.850994076962</v>
      </c>
      <c r="G12" s="26">
        <f>IF(A12&gt;='Input Parameters'!$B$27,'Input Parameters'!$C$22,0)</f>
        <v>0</v>
      </c>
      <c r="H12" s="26">
        <f>(IF(A12&gt;='Input Parameters'!$B$27,'Input Parameters'!$C$21,0))*(1+'Input Parameters'!$B$48)^(A12-'Input Parameters'!$B$26)</f>
        <v>410010.8618305907</v>
      </c>
      <c r="I12" s="26">
        <v>0</v>
      </c>
      <c r="J12" s="26">
        <f>'Input Parameters'!F64</f>
        <v>0</v>
      </c>
      <c r="K12" s="27">
        <f>IF(K11&lt;100,0,IF('Input Parameters'!$B$28=K11,0,K11+1))</f>
        <v>2014</v>
      </c>
      <c r="L12" s="25">
        <f t="shared" si="0"/>
        <v>207990.70981231323</v>
      </c>
      <c r="M12" s="26">
        <f t="shared" si="1"/>
        <v>410010.8618305907</v>
      </c>
      <c r="N12" s="64">
        <f t="shared" si="2"/>
        <v>202020.15201827747</v>
      </c>
      <c r="O12" s="64">
        <f t="shared" si="3"/>
        <v>3135144.4178727916</v>
      </c>
      <c r="P12" s="64">
        <f t="shared" si="4"/>
        <v>202020.15201827747</v>
      </c>
    </row>
    <row r="13" spans="1:16" ht="12.75">
      <c r="A13" s="27">
        <f>IF(A12&lt;100,0,IF('Input Parameters'!$B$28=A12,0,A12+1))</f>
        <v>2015</v>
      </c>
      <c r="B13" s="25">
        <f>IF(A13='Input Parameters'!$B$26,'Input Parameters'!$C$35,0)</f>
        <v>0</v>
      </c>
      <c r="C13" s="25">
        <f>IF(A13&gt;='Input Parameters'!$B$27,'Input Parameters'!$C$40,0)*(1+'Input Parameters'!$B$48)^(A13-'Input Parameters'!$B$26)</f>
        <v>220321.49975869813</v>
      </c>
      <c r="D13" s="25">
        <f>Financing!E16</f>
        <v>0</v>
      </c>
      <c r="E13" s="25">
        <f>Financing!C16</f>
        <v>0</v>
      </c>
      <c r="F13" s="25">
        <f>Taxes!J16</f>
        <v>23492.973378277336</v>
      </c>
      <c r="G13" s="26">
        <f>IF(A13&gt;='Input Parameters'!$B$27,'Input Parameters'!$C$22,0)</f>
        <v>0</v>
      </c>
      <c r="H13" s="26">
        <f>(IF(A13&gt;='Input Parameters'!$B$27,'Input Parameters'!$C$21,0))*(1+'Input Parameters'!$B$48)^(A13-'Input Parameters'!$B$26)</f>
        <v>465362.32817772037</v>
      </c>
      <c r="I13" s="26">
        <v>0</v>
      </c>
      <c r="J13" s="26">
        <f>'Input Parameters'!F65</f>
        <v>0</v>
      </c>
      <c r="K13" s="27">
        <f>IF(K12&lt;100,0,IF('Input Parameters'!$B$28=K12,0,K12+1))</f>
        <v>2015</v>
      </c>
      <c r="L13" s="25">
        <f t="shared" si="0"/>
        <v>243814.47313697546</v>
      </c>
      <c r="M13" s="26">
        <f t="shared" si="1"/>
        <v>465362.32817772037</v>
      </c>
      <c r="N13" s="64">
        <f t="shared" si="2"/>
        <v>221547.8550407449</v>
      </c>
      <c r="O13" s="64">
        <f t="shared" si="3"/>
        <v>3356692.2729135365</v>
      </c>
      <c r="P13" s="64">
        <f t="shared" si="4"/>
        <v>221547.8550407449</v>
      </c>
    </row>
    <row r="14" spans="1:16" ht="12.75">
      <c r="A14" s="27">
        <f>IF(A13&lt;100,0,IF('Input Parameters'!$B$28=A13,0,A13+1))</f>
        <v>2016</v>
      </c>
      <c r="B14" s="25">
        <f>IF(A14='Input Parameters'!$B$26,'Input Parameters'!$C$35,0)</f>
        <v>0</v>
      </c>
      <c r="C14" s="25">
        <f>IF(A14&gt;='Input Parameters'!$B$27,'Input Parameters'!$C$40,0)*(1+'Input Parameters'!$B$48)^(A14-'Input Parameters'!$B$26)</f>
        <v>250064.9022261224</v>
      </c>
      <c r="D14" s="25">
        <f>Financing!E17</f>
        <v>0</v>
      </c>
      <c r="E14" s="25">
        <f>Financing!C17</f>
        <v>0</v>
      </c>
      <c r="F14" s="25">
        <f>Taxes!J17</f>
        <v>34409.542284344774</v>
      </c>
      <c r="G14" s="26">
        <f>IF(A14&gt;='Input Parameters'!$B$27,'Input Parameters'!$C$22,0)</f>
        <v>0</v>
      </c>
      <c r="H14" s="26">
        <f>(IF(A14&gt;='Input Parameters'!$B$27,'Input Parameters'!$C$21,0))*(1+'Input Parameters'!$B$48)^(A14-'Input Parameters'!$B$26)</f>
        <v>528186.2424817126</v>
      </c>
      <c r="I14" s="26">
        <v>0</v>
      </c>
      <c r="J14" s="26">
        <f>'Input Parameters'!F66</f>
        <v>0</v>
      </c>
      <c r="K14" s="27">
        <f>IF(K13&lt;100,0,IF('Input Parameters'!$B$28=K13,0,K13+1))</f>
        <v>2016</v>
      </c>
      <c r="L14" s="25">
        <f t="shared" si="0"/>
        <v>284474.4445104672</v>
      </c>
      <c r="M14" s="26">
        <f t="shared" si="1"/>
        <v>528186.2424817126</v>
      </c>
      <c r="N14" s="64">
        <f t="shared" si="2"/>
        <v>243711.79797124543</v>
      </c>
      <c r="O14" s="64">
        <f t="shared" si="3"/>
        <v>3600404.070884782</v>
      </c>
      <c r="P14" s="64">
        <f t="shared" si="4"/>
        <v>243711.79797124543</v>
      </c>
    </row>
    <row r="15" spans="1:16" ht="12.75">
      <c r="A15" s="27">
        <f>IF(A14&lt;100,0,IF('Input Parameters'!$B$28=A14,0,A14+1))</f>
        <v>2017</v>
      </c>
      <c r="B15" s="25">
        <f>IF(A15='Input Parameters'!$B$26,'Input Parameters'!$C$35,0)</f>
        <v>0</v>
      </c>
      <c r="C15" s="25">
        <f>IF(A15&gt;='Input Parameters'!$B$27,'Input Parameters'!$C$40,0)*(1+'Input Parameters'!$B$48)^(A15-'Input Parameters'!$B$26)</f>
        <v>283823.6640266489</v>
      </c>
      <c r="D15" s="25">
        <f>Financing!E18</f>
        <v>0</v>
      </c>
      <c r="E15" s="25">
        <f>Financing!C18</f>
        <v>0</v>
      </c>
      <c r="F15" s="25">
        <f>Taxes!J18</f>
        <v>46799.84799273132</v>
      </c>
      <c r="G15" s="26">
        <f>IF(A15&gt;='Input Parameters'!$B$27,'Input Parameters'!$C$22,0)</f>
        <v>0</v>
      </c>
      <c r="H15" s="26">
        <f>(IF(A15&gt;='Input Parameters'!$B$27,'Input Parameters'!$C$21,0))*(1+'Input Parameters'!$B$48)^(A15-'Input Parameters'!$B$26)</f>
        <v>599491.3852167438</v>
      </c>
      <c r="I15" s="26">
        <v>0</v>
      </c>
      <c r="J15" s="26">
        <f>'Input Parameters'!F67</f>
        <v>0</v>
      </c>
      <c r="K15" s="27">
        <f>IF(K14&lt;100,0,IF('Input Parameters'!$B$28=K14,0,K14+1))</f>
        <v>2017</v>
      </c>
      <c r="L15" s="25">
        <f t="shared" si="0"/>
        <v>330623.5120193802</v>
      </c>
      <c r="M15" s="26">
        <f t="shared" si="1"/>
        <v>599491.3852167438</v>
      </c>
      <c r="N15" s="64">
        <f t="shared" si="2"/>
        <v>268867.8731973636</v>
      </c>
      <c r="O15" s="64">
        <f t="shared" si="3"/>
        <v>3869271.9440821456</v>
      </c>
      <c r="P15" s="64">
        <f t="shared" si="4"/>
        <v>268867.8731973636</v>
      </c>
    </row>
    <row r="16" spans="1:16" ht="12.75">
      <c r="A16" s="27">
        <v>2018</v>
      </c>
      <c r="B16" s="25">
        <f>IF(A16='Input Parameters'!$B$26,'Input Parameters'!$C$35,0)</f>
        <v>0</v>
      </c>
      <c r="C16" s="25">
        <v>0</v>
      </c>
      <c r="D16" s="25">
        <f>Financing!E19</f>
        <v>0</v>
      </c>
      <c r="E16" s="25">
        <f>Financing!C19</f>
        <v>0</v>
      </c>
      <c r="F16" s="25">
        <f>Taxes!J19</f>
        <v>0</v>
      </c>
      <c r="G16" s="26">
        <f>IF(A16&gt;='Input Parameters'!$B$27,'Input Parameters'!$C$22,0)</f>
        <v>0</v>
      </c>
      <c r="H16" s="26">
        <v>0</v>
      </c>
      <c r="I16" s="26">
        <f>'Input Parameters'!E68</f>
        <v>0</v>
      </c>
      <c r="J16" s="26">
        <f>'Input Parameters'!F68</f>
        <v>0</v>
      </c>
      <c r="K16" s="27">
        <v>0</v>
      </c>
      <c r="L16" s="25">
        <f aca="true" t="shared" si="5" ref="L16:L24">SUM(B16:F16)-E16</f>
        <v>0</v>
      </c>
      <c r="M16" s="26">
        <f>SUM(G16:J16)</f>
        <v>0</v>
      </c>
      <c r="N16" s="64">
        <f>M16-L16</f>
        <v>0</v>
      </c>
      <c r="O16" s="64">
        <v>0</v>
      </c>
      <c r="P16" s="64">
        <f>+N16-E16</f>
        <v>0</v>
      </c>
    </row>
    <row r="17" spans="1:16" ht="12.75">
      <c r="A17" s="27">
        <f>IF(A16&lt;100,0,IF('Input Parameters'!$B$28=A16,0,A16+1))</f>
        <v>2019</v>
      </c>
      <c r="B17" s="25">
        <f>IF(A17='Input Parameters'!$B$26,'Input Parameters'!$C$35,0)</f>
        <v>0</v>
      </c>
      <c r="C17" s="25">
        <v>0</v>
      </c>
      <c r="D17" s="25">
        <f>Financing!E20</f>
        <v>0</v>
      </c>
      <c r="E17" s="25">
        <f>Financing!C20</f>
        <v>0</v>
      </c>
      <c r="F17" s="25">
        <f>Taxes!J20</f>
        <v>0</v>
      </c>
      <c r="G17" s="26">
        <v>0</v>
      </c>
      <c r="H17" s="26">
        <f>IF(A17&gt;='Input Parameters'!$B$27,'Input Parameters'!$C$23,0)</f>
        <v>0</v>
      </c>
      <c r="I17" s="26">
        <f>'Input Parameters'!E69</f>
        <v>0</v>
      </c>
      <c r="J17" s="26">
        <f>'Input Parameters'!F69</f>
        <v>0</v>
      </c>
      <c r="K17" s="27">
        <v>0</v>
      </c>
      <c r="L17" s="25">
        <f t="shared" si="5"/>
        <v>0</v>
      </c>
      <c r="M17" s="26">
        <f>SUM(G17:J17)</f>
        <v>0</v>
      </c>
      <c r="N17" s="64">
        <f>M17-L17</f>
        <v>0</v>
      </c>
      <c r="O17" s="64">
        <v>0</v>
      </c>
      <c r="P17" s="64">
        <f>+N17-E17</f>
        <v>0</v>
      </c>
    </row>
    <row r="18" spans="1:16" ht="12.75">
      <c r="A18" s="27">
        <f>IF(A17&lt;100,0,IF('Input Parameters'!$B$28=A17,0,A17+1))</f>
        <v>2020</v>
      </c>
      <c r="B18" s="25">
        <f>IF(A18='Input Parameters'!$B$26,'Input Parameters'!$C$35,0)</f>
        <v>0</v>
      </c>
      <c r="C18" s="25">
        <v>0</v>
      </c>
      <c r="D18" s="25">
        <f>Financing!E21</f>
        <v>0</v>
      </c>
      <c r="E18" s="25">
        <f>Financing!C21</f>
        <v>0</v>
      </c>
      <c r="F18" s="25">
        <f>Taxes!J21</f>
        <v>0</v>
      </c>
      <c r="G18" s="26">
        <f>IF(A18&gt;='Input Parameters'!$B$27,'Input Parameters'!$C$22,0)</f>
        <v>0</v>
      </c>
      <c r="H18" s="26">
        <f>IF(A18&gt;='Input Parameters'!$B$27,'Input Parameters'!$C$23,0)</f>
        <v>0</v>
      </c>
      <c r="I18" s="26">
        <f>'Input Parameters'!E70</f>
        <v>0</v>
      </c>
      <c r="J18" s="26">
        <f>'Input Parameters'!F70</f>
        <v>0</v>
      </c>
      <c r="K18" s="27">
        <v>0</v>
      </c>
      <c r="L18" s="25">
        <f t="shared" si="5"/>
        <v>0</v>
      </c>
      <c r="M18" s="26">
        <f>SUM(G18:J18)</f>
        <v>0</v>
      </c>
      <c r="N18" s="64">
        <f>M18-L18</f>
        <v>0</v>
      </c>
      <c r="O18" s="64">
        <v>0</v>
      </c>
      <c r="P18" s="64">
        <f>+N18-E18</f>
        <v>0</v>
      </c>
    </row>
    <row r="19" spans="1:16" ht="12.75">
      <c r="A19" s="27">
        <f>IF(A18&lt;100,0,IF('Input Parameters'!$B$28=A18,0,A18+1))</f>
        <v>2021</v>
      </c>
      <c r="B19" s="25">
        <f>IF(A19='Input Parameters'!$B$26,'Input Parameters'!$C$35,0)</f>
        <v>0</v>
      </c>
      <c r="C19" s="25">
        <v>0</v>
      </c>
      <c r="D19" s="25">
        <f>Financing!E22</f>
        <v>0</v>
      </c>
      <c r="E19" s="25">
        <f>Financing!C22</f>
        <v>0</v>
      </c>
      <c r="F19" s="25">
        <f>Taxes!J22</f>
        <v>0</v>
      </c>
      <c r="G19" s="26">
        <f>IF(A19&gt;='Input Parameters'!$B$27,'Input Parameters'!$C$22,0)</f>
        <v>0</v>
      </c>
      <c r="H19" s="26">
        <f>IF(A19&gt;='Input Parameters'!$B$27,'Input Parameters'!$C$23,0)</f>
        <v>0</v>
      </c>
      <c r="I19" s="26">
        <f>'Input Parameters'!E71</f>
        <v>0</v>
      </c>
      <c r="J19" s="26">
        <f>'Input Parameters'!F68</f>
        <v>0</v>
      </c>
      <c r="K19" s="27">
        <f>IF(K18&lt;100,0,IF('Input Parameters'!$B$28=K18,0,K18+1))</f>
        <v>0</v>
      </c>
      <c r="L19" s="29">
        <f t="shared" si="5"/>
        <v>0</v>
      </c>
      <c r="M19" s="30">
        <f t="shared" si="1"/>
        <v>0</v>
      </c>
      <c r="N19" s="31">
        <f t="shared" si="2"/>
        <v>0</v>
      </c>
      <c r="O19" s="31">
        <f t="shared" si="3"/>
        <v>0</v>
      </c>
      <c r="P19" s="31">
        <f t="shared" si="4"/>
        <v>0</v>
      </c>
    </row>
    <row r="20" spans="1:16" ht="12.75">
      <c r="A20" s="27">
        <f>IF(A19&lt;100,0,IF('Input Parameters'!$B$28=A19,0,A19+1))</f>
        <v>2022</v>
      </c>
      <c r="B20" s="25">
        <f>IF(A20='Input Parameters'!$B$26,'Input Parameters'!$C$35,0)</f>
        <v>0</v>
      </c>
      <c r="C20" s="25">
        <v>0</v>
      </c>
      <c r="D20" s="25">
        <f>Financing!E23</f>
        <v>0</v>
      </c>
      <c r="E20" s="25">
        <f>Financing!C23</f>
        <v>0</v>
      </c>
      <c r="F20" s="25">
        <f>Taxes!J23</f>
        <v>0</v>
      </c>
      <c r="G20" s="26">
        <f>IF(A20&gt;='Input Parameters'!$B$27,'Input Parameters'!$C$22,0)</f>
        <v>0</v>
      </c>
      <c r="H20" s="26">
        <f>IF(A20&gt;='Input Parameters'!$B$27,'Input Parameters'!$C$23,0)</f>
        <v>0</v>
      </c>
      <c r="I20" s="26">
        <f>'Input Parameters'!E72</f>
        <v>0</v>
      </c>
      <c r="J20" s="26">
        <f>'Input Parameters'!F69</f>
        <v>0</v>
      </c>
      <c r="K20" s="27">
        <f>IF(K19&lt;100,0,IF('Input Parameters'!$B$28=K19,0,K19+1))</f>
        <v>0</v>
      </c>
      <c r="L20" s="29">
        <f t="shared" si="5"/>
        <v>0</v>
      </c>
      <c r="M20" s="30">
        <f>SUM(G20:J20)</f>
        <v>0</v>
      </c>
      <c r="N20" s="31">
        <f>M20-L20</f>
        <v>0</v>
      </c>
      <c r="O20" s="31">
        <f t="shared" si="3"/>
        <v>0</v>
      </c>
      <c r="P20" s="31">
        <f>+N20-E20</f>
        <v>0</v>
      </c>
    </row>
    <row r="21" spans="1:16" ht="12.75">
      <c r="A21" s="27">
        <f>IF(A20&lt;100,0,IF('Input Parameters'!$B$28=A20,0,A20+1))</f>
        <v>2023</v>
      </c>
      <c r="B21" s="25">
        <f>IF(A21='Input Parameters'!$B$26,'Input Parameters'!$C$35,0)</f>
        <v>0</v>
      </c>
      <c r="C21" s="25">
        <v>0</v>
      </c>
      <c r="D21" s="25">
        <f>Financing!E24</f>
        <v>0</v>
      </c>
      <c r="E21" s="25">
        <f>Financing!C24</f>
        <v>0</v>
      </c>
      <c r="F21" s="25">
        <f>Taxes!J24</f>
        <v>0</v>
      </c>
      <c r="G21" s="26">
        <f>IF(A21&gt;='Input Parameters'!$B$27,'Input Parameters'!$C$22,0)</f>
        <v>0</v>
      </c>
      <c r="H21" s="26">
        <f>IF(A21&gt;='Input Parameters'!$B$27,'Input Parameters'!$C$23,0)</f>
        <v>0</v>
      </c>
      <c r="I21" s="26">
        <f>'Input Parameters'!E73</f>
        <v>0</v>
      </c>
      <c r="J21" s="26">
        <f>'Input Parameters'!F70</f>
        <v>0</v>
      </c>
      <c r="K21" s="27">
        <f>IF(K20&lt;100,0,IF('Input Parameters'!$B$28=K20,0,K20+1))</f>
        <v>0</v>
      </c>
      <c r="L21" s="29">
        <f t="shared" si="5"/>
        <v>0</v>
      </c>
      <c r="M21" s="30">
        <f>SUM(G21:J21)</f>
        <v>0</v>
      </c>
      <c r="N21" s="31">
        <f>M21-L21</f>
        <v>0</v>
      </c>
      <c r="O21" s="31">
        <f t="shared" si="3"/>
        <v>0</v>
      </c>
      <c r="P21" s="31">
        <f>+N21-E21</f>
        <v>0</v>
      </c>
    </row>
    <row r="22" spans="1:16" ht="12.75">
      <c r="A22" s="27">
        <f>IF(A21&lt;100,0,IF('Input Parameters'!$B$28=A21,0,A21+1))</f>
        <v>2024</v>
      </c>
      <c r="B22" s="25">
        <f>IF(A22='Input Parameters'!$B$26,'Input Parameters'!$C$35,0)</f>
        <v>0</v>
      </c>
      <c r="C22" s="25">
        <v>0</v>
      </c>
      <c r="D22" s="25">
        <f>Financing!E25</f>
        <v>0</v>
      </c>
      <c r="E22" s="25">
        <f>Financing!C25</f>
        <v>0</v>
      </c>
      <c r="F22" s="25">
        <f>Taxes!J25</f>
        <v>0</v>
      </c>
      <c r="G22" s="26">
        <f>IF(A22&gt;='Input Parameters'!$B$27,'Input Parameters'!$C$22,0)</f>
        <v>0</v>
      </c>
      <c r="H22" s="26">
        <f>IF(A22&gt;='Input Parameters'!$B$27,'Input Parameters'!$C$23,0)</f>
        <v>0</v>
      </c>
      <c r="I22" s="26">
        <f>'Input Parameters'!E74</f>
        <v>0</v>
      </c>
      <c r="J22" s="26">
        <f>'Input Parameters'!F71</f>
        <v>0</v>
      </c>
      <c r="K22" s="27">
        <f>IF(K21&lt;100,0,IF('Input Parameters'!$B$28=K21,0,K21+1))</f>
        <v>0</v>
      </c>
      <c r="L22" s="29">
        <f t="shared" si="5"/>
        <v>0</v>
      </c>
      <c r="M22" s="30">
        <f>SUM(G22:J22)</f>
        <v>0</v>
      </c>
      <c r="N22" s="31">
        <f>M22-L22</f>
        <v>0</v>
      </c>
      <c r="O22" s="31">
        <f t="shared" si="3"/>
        <v>0</v>
      </c>
      <c r="P22" s="31">
        <f>+N22-E22</f>
        <v>0</v>
      </c>
    </row>
    <row r="23" spans="1:16" ht="12.75">
      <c r="A23" s="27">
        <f>IF(A22&lt;100,0,IF('Input Parameters'!$B$28=A22,0,A22+1))</f>
        <v>2025</v>
      </c>
      <c r="B23" s="25">
        <f>IF(A23='Input Parameters'!$B$26,'Input Parameters'!$C$35,0)</f>
        <v>0</v>
      </c>
      <c r="C23" s="25">
        <v>0</v>
      </c>
      <c r="D23" s="25">
        <f>Financing!E26</f>
        <v>0</v>
      </c>
      <c r="E23" s="25">
        <f>Financing!C26</f>
        <v>0</v>
      </c>
      <c r="F23" s="25">
        <f>Taxes!J26</f>
        <v>0</v>
      </c>
      <c r="G23" s="26">
        <f>IF(A23&gt;='Input Parameters'!$B$27,'Input Parameters'!$C$22,0)</f>
        <v>0</v>
      </c>
      <c r="H23" s="26">
        <f>IF(A23&gt;='Input Parameters'!$B$27,'Input Parameters'!$C$23,0)</f>
        <v>0</v>
      </c>
      <c r="I23" s="26">
        <f>'Input Parameters'!E75</f>
        <v>0</v>
      </c>
      <c r="J23" s="26">
        <f>'Input Parameters'!F72</f>
        <v>0</v>
      </c>
      <c r="K23" s="27">
        <f>IF(K22&lt;100,0,IF('Input Parameters'!$B$28=K22,0,K22+1))</f>
        <v>0</v>
      </c>
      <c r="L23" s="29">
        <f t="shared" si="5"/>
        <v>0</v>
      </c>
      <c r="M23" s="30">
        <f>SUM(G23:J23)</f>
        <v>0</v>
      </c>
      <c r="N23" s="31">
        <f>M23-L23</f>
        <v>0</v>
      </c>
      <c r="O23" s="31">
        <f t="shared" si="3"/>
        <v>0</v>
      </c>
      <c r="P23" s="31">
        <f>+N23-E23</f>
        <v>0</v>
      </c>
    </row>
    <row r="24" spans="1:16" ht="12.75">
      <c r="A24" s="27">
        <f>IF(A23&lt;100,0,IF('Input Parameters'!$B$28=A23,0,A23+1))</f>
        <v>2026</v>
      </c>
      <c r="B24" s="25">
        <f>IF(A24='Input Parameters'!$B$26,'Input Parameters'!$C$35,0)</f>
        <v>0</v>
      </c>
      <c r="C24" s="25">
        <v>0</v>
      </c>
      <c r="D24" s="25">
        <f>Financing!E27</f>
        <v>0</v>
      </c>
      <c r="E24" s="25">
        <f>Financing!C27</f>
        <v>0</v>
      </c>
      <c r="F24" s="25">
        <f>Taxes!J27</f>
        <v>0</v>
      </c>
      <c r="G24" s="26">
        <f>IF(A24&gt;='Input Parameters'!$B$27,'Input Parameters'!$C$22,0)</f>
        <v>0</v>
      </c>
      <c r="H24" s="26">
        <f>IF(A24&gt;='Input Parameters'!$B$27,'Input Parameters'!$C$23,0)</f>
        <v>0</v>
      </c>
      <c r="I24" s="26">
        <f>'Input Parameters'!E76</f>
        <v>0</v>
      </c>
      <c r="J24" s="26">
        <f>'Input Parameters'!F73</f>
        <v>0</v>
      </c>
      <c r="K24" s="27">
        <f>IF(K23&lt;100,0,IF('Input Parameters'!$B$28=K23,0,K23+1))</f>
        <v>0</v>
      </c>
      <c r="L24" s="29">
        <f t="shared" si="5"/>
        <v>0</v>
      </c>
      <c r="M24" s="30">
        <f>SUM(G24:J24)</f>
        <v>0</v>
      </c>
      <c r="N24" s="31">
        <f>M24-L24</f>
        <v>0</v>
      </c>
      <c r="O24" s="31">
        <f t="shared" si="3"/>
        <v>0</v>
      </c>
      <c r="P24" s="31">
        <f>+N24-E24</f>
        <v>0</v>
      </c>
    </row>
    <row r="26" spans="10:14" ht="12.75">
      <c r="J26" s="65"/>
      <c r="M26" s="9" t="s">
        <v>55</v>
      </c>
      <c r="N26" s="11">
        <f>IRR(N5:N15,0)</f>
        <v>0.32944365443218304</v>
      </c>
    </row>
    <row r="27" spans="13:14" ht="12.75">
      <c r="M27" s="9" t="s">
        <v>35</v>
      </c>
      <c r="N27" s="10">
        <f>NPV(0%,N5:N24)</f>
        <v>3869271.9440821456</v>
      </c>
    </row>
    <row r="28" spans="13:20" ht="12.75">
      <c r="M28" s="9" t="s">
        <v>130</v>
      </c>
      <c r="N28" s="10">
        <f>NPV(15%,N5:N24)</f>
        <v>1123515.0167215262</v>
      </c>
      <c r="T28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I29"/>
  <sheetViews>
    <sheetView workbookViewId="0" topLeftCell="A1">
      <selection activeCell="A18" sqref="A18"/>
    </sheetView>
  </sheetViews>
  <sheetFormatPr defaultColWidth="11.421875" defaultRowHeight="12.75"/>
  <cols>
    <col min="3" max="3" width="13.421875" style="0" customWidth="1"/>
    <col min="9" max="9" width="0" style="0" hidden="1" customWidth="1"/>
  </cols>
  <sheetData>
    <row r="3" spans="1:6" ht="12.75">
      <c r="A3" t="s">
        <v>8</v>
      </c>
      <c r="B3" t="s">
        <v>0</v>
      </c>
      <c r="C3" t="s">
        <v>22</v>
      </c>
      <c r="D3" t="s">
        <v>45</v>
      </c>
      <c r="E3" t="s">
        <v>16</v>
      </c>
      <c r="F3" t="s">
        <v>23</v>
      </c>
    </row>
    <row r="8" spans="1:6" ht="12.75">
      <c r="A8">
        <f>'Input Parameters'!$B$26</f>
        <v>2007</v>
      </c>
      <c r="B8" s="5">
        <f>'Input Parameters'!C35</f>
        <v>1738500</v>
      </c>
      <c r="C8" s="5"/>
      <c r="D8" s="5">
        <f>B8*'Input Parameters'!B45</f>
        <v>0</v>
      </c>
      <c r="E8" s="5"/>
      <c r="F8" s="5"/>
    </row>
    <row r="9" spans="1:9" ht="12.75">
      <c r="A9">
        <f>IF(A8&lt;100,0,IF('Input Parameters'!$B$28=A8,0,A8+1))</f>
        <v>2008</v>
      </c>
      <c r="B9" s="5"/>
      <c r="C9" s="5">
        <f>IF(D8=0,0,$D$8/'Input Parameters'!$B$46)</f>
        <v>0</v>
      </c>
      <c r="D9" s="5">
        <f>D8-C9</f>
        <v>0</v>
      </c>
      <c r="E9" s="5">
        <f>D8*'Input Parameters'!$B$44</f>
        <v>0</v>
      </c>
      <c r="F9" s="5">
        <f>$B$8/'Input Parameters'!$B$43</f>
        <v>173850</v>
      </c>
      <c r="I9">
        <v>0</v>
      </c>
    </row>
    <row r="10" spans="1:9" ht="12.75">
      <c r="A10">
        <f>IF(A9&lt;100,0,IF('Input Parameters'!$B$28=A9,0,A9+1))</f>
        <v>2009</v>
      </c>
      <c r="B10" s="5"/>
      <c r="C10" s="5">
        <f>IF(D9=0,0,$D$8/'Input Parameters'!$B$46)</f>
        <v>0</v>
      </c>
      <c r="D10" s="5">
        <f>D9-C10</f>
        <v>0</v>
      </c>
      <c r="E10" s="5">
        <f>D9*'Input Parameters'!$B$44</f>
        <v>0</v>
      </c>
      <c r="F10" s="5">
        <f>IF(I9+F9=$B$8,0,$B$8/'Input Parameters'!$B$43)</f>
        <v>173850</v>
      </c>
      <c r="I10">
        <f>I9+F9</f>
        <v>173850</v>
      </c>
    </row>
    <row r="11" spans="1:9" ht="12.75">
      <c r="A11">
        <f>IF(A10&lt;100,0,IF('Input Parameters'!$B$28=A10,0,A10+1))</f>
        <v>2010</v>
      </c>
      <c r="B11" s="5"/>
      <c r="C11" s="5">
        <f>IF(D10=0,0,$D$8/'Input Parameters'!$B$46)</f>
        <v>0</v>
      </c>
      <c r="D11" s="5">
        <f>D10-C11</f>
        <v>0</v>
      </c>
      <c r="E11" s="5">
        <f>D10*'Input Parameters'!$B$44</f>
        <v>0</v>
      </c>
      <c r="F11" s="5">
        <f>IF(I10+F10=$B$8,0,$B$8/'Input Parameters'!$B$43)</f>
        <v>173850</v>
      </c>
      <c r="I11">
        <f aca="true" t="shared" si="0" ref="I11:I27">I10+F10</f>
        <v>347700</v>
      </c>
    </row>
    <row r="12" spans="1:9" ht="12.75">
      <c r="A12">
        <f>IF(A11&lt;100,0,IF('Input Parameters'!$B$28=A11,0,A11+1))</f>
        <v>2011</v>
      </c>
      <c r="B12" s="5"/>
      <c r="C12" s="5">
        <f>IF(D11=0,0,$D$8/'Input Parameters'!$B$46)</f>
        <v>0</v>
      </c>
      <c r="D12" s="5">
        <f>D11-C12</f>
        <v>0</v>
      </c>
      <c r="E12" s="5">
        <f>D11*'Input Parameters'!$B$44</f>
        <v>0</v>
      </c>
      <c r="F12" s="5">
        <f>IF(I11+F11=$B$8,0,$B$8/'Input Parameters'!$B$43)</f>
        <v>173850</v>
      </c>
      <c r="I12">
        <f t="shared" si="0"/>
        <v>521550</v>
      </c>
    </row>
    <row r="13" spans="1:9" ht="12.75">
      <c r="A13">
        <f>IF(A12&lt;100,0,IF('Input Parameters'!$B$28=A12,0,A12+1))</f>
        <v>2012</v>
      </c>
      <c r="B13" s="5"/>
      <c r="C13" s="5">
        <f>IF(D12=0,0,$D$8/'Input Parameters'!$B$46)</f>
        <v>0</v>
      </c>
      <c r="D13" s="5">
        <f>D12-C13</f>
        <v>0</v>
      </c>
      <c r="E13" s="5">
        <f>D12*'Input Parameters'!$B$44</f>
        <v>0</v>
      </c>
      <c r="F13" s="5">
        <f>IF(I12+F12=$B$8,0,$B$8/'Input Parameters'!$B$43)</f>
        <v>173850</v>
      </c>
      <c r="I13">
        <f t="shared" si="0"/>
        <v>695400</v>
      </c>
    </row>
    <row r="14" spans="1:9" ht="12.75">
      <c r="A14">
        <f>IF(A13&lt;100,0,IF('Input Parameters'!$B$28=A13,0,A13+1))</f>
        <v>2013</v>
      </c>
      <c r="B14" s="5"/>
      <c r="C14" s="5">
        <f>IF(D13=0,0,$D$8/'Input Parameters'!$B$46)</f>
        <v>0</v>
      </c>
      <c r="D14" s="5">
        <f aca="true" t="shared" si="1" ref="D14:D27">D13-C14</f>
        <v>0</v>
      </c>
      <c r="E14" s="5">
        <f>D13*'Input Parameters'!$B$44</f>
        <v>0</v>
      </c>
      <c r="F14" s="5">
        <f>IF(I13+F13=$B$8,0,$B$8/'Input Parameters'!$B$43)</f>
        <v>173850</v>
      </c>
      <c r="I14">
        <f t="shared" si="0"/>
        <v>869250</v>
      </c>
    </row>
    <row r="15" spans="1:9" ht="12.75">
      <c r="A15">
        <f>IF(A14&lt;100,0,IF('Input Parameters'!$B$28=A14,0,A14+1))</f>
        <v>2014</v>
      </c>
      <c r="B15" s="5"/>
      <c r="C15" s="5">
        <f>IF(D14=0,0,$D$8/'Input Parameters'!$B$46)</f>
        <v>0</v>
      </c>
      <c r="D15" s="5">
        <f t="shared" si="1"/>
        <v>0</v>
      </c>
      <c r="E15" s="5">
        <f>D14*'Input Parameters'!$B$44</f>
        <v>0</v>
      </c>
      <c r="F15" s="5">
        <f>IF(I14+F14=$B$8,0,$B$8/'Input Parameters'!$B$43)</f>
        <v>173850</v>
      </c>
      <c r="I15">
        <f t="shared" si="0"/>
        <v>1043100</v>
      </c>
    </row>
    <row r="16" spans="1:9" ht="12.75">
      <c r="A16">
        <f>IF(A15&lt;100,0,IF('Input Parameters'!$B$28=A15,0,A15+1))</f>
        <v>2015</v>
      </c>
      <c r="B16" s="5"/>
      <c r="C16" s="5">
        <f>IF(D15=0,0,$D$8/'Input Parameters'!$B$46)</f>
        <v>0</v>
      </c>
      <c r="D16" s="5">
        <f t="shared" si="1"/>
        <v>0</v>
      </c>
      <c r="E16" s="5">
        <f>D15*'Input Parameters'!$B$44</f>
        <v>0</v>
      </c>
      <c r="F16" s="5">
        <f>IF(I15+F15=$B$8,0,$B$8/'Input Parameters'!$B$43)</f>
        <v>173850</v>
      </c>
      <c r="I16">
        <f t="shared" si="0"/>
        <v>1216950</v>
      </c>
    </row>
    <row r="17" spans="1:9" ht="12.75">
      <c r="A17">
        <f>IF(A16&lt;100,0,IF('Input Parameters'!$B$28=A16,0,A16+1))</f>
        <v>2016</v>
      </c>
      <c r="B17" s="5"/>
      <c r="C17" s="5">
        <f>IF(D16=0,0,$D$8/'Input Parameters'!$B$46)</f>
        <v>0</v>
      </c>
      <c r="D17" s="5">
        <f t="shared" si="1"/>
        <v>0</v>
      </c>
      <c r="E17" s="5">
        <f>D16*'Input Parameters'!$B$44</f>
        <v>0</v>
      </c>
      <c r="F17" s="5">
        <f>IF(I16+F16=$B$8,0,$B$8/'Input Parameters'!$B$43)</f>
        <v>173850</v>
      </c>
      <c r="I17">
        <f t="shared" si="0"/>
        <v>1390800</v>
      </c>
    </row>
    <row r="18" spans="1:9" ht="12.75">
      <c r="A18">
        <f>IF(A17&lt;100,0,IF('Input Parameters'!$B$28=A17,0,A17+1))</f>
        <v>2017</v>
      </c>
      <c r="B18" s="5"/>
      <c r="C18" s="5">
        <f>IF(D17=0,0,$D$8/'Input Parameters'!$B$46)</f>
        <v>0</v>
      </c>
      <c r="D18" s="5">
        <f t="shared" si="1"/>
        <v>0</v>
      </c>
      <c r="E18" s="5">
        <f>D17*'Input Parameters'!$B$44</f>
        <v>0</v>
      </c>
      <c r="F18" s="5">
        <f>IF(I17+F17=$B$8,0,$B$8/'Input Parameters'!$B$43)</f>
        <v>173850</v>
      </c>
      <c r="I18">
        <f t="shared" si="0"/>
        <v>1564650</v>
      </c>
    </row>
    <row r="19" spans="1:9" ht="12.75">
      <c r="A19">
        <f>IF(A18&lt;100,0,IF('Input Parameters'!$B$28=A18,0,A18+1))</f>
        <v>0</v>
      </c>
      <c r="B19" s="5"/>
      <c r="C19" s="5">
        <f>IF(D18=0,0,$D$8/'Input Parameters'!$B$46)</f>
        <v>0</v>
      </c>
      <c r="D19" s="5">
        <f t="shared" si="1"/>
        <v>0</v>
      </c>
      <c r="E19" s="5">
        <f>D18*'Input Parameters'!$B$44</f>
        <v>0</v>
      </c>
      <c r="F19" s="5">
        <f>IF(I18+F18=$B$8,0,$B$8/'Input Parameters'!$B$43)</f>
        <v>0</v>
      </c>
      <c r="I19">
        <f t="shared" si="0"/>
        <v>1738500</v>
      </c>
    </row>
    <row r="20" spans="1:9" ht="12.75">
      <c r="A20">
        <f>IF(A19&lt;100,0,IF('Input Parameters'!$B$28=A19,0,A19+1))</f>
        <v>0</v>
      </c>
      <c r="B20" s="5"/>
      <c r="C20" s="5">
        <f>IF(D19=0,0,$D$8/'Input Parameters'!$B$46)</f>
        <v>0</v>
      </c>
      <c r="D20" s="5">
        <f t="shared" si="1"/>
        <v>0</v>
      </c>
      <c r="E20" s="5">
        <f>D19*'Input Parameters'!$B$44</f>
        <v>0</v>
      </c>
      <c r="F20" s="5">
        <f>IF(I19+F19=$B$8,0,$B$8/'Input Parameters'!$B$43)</f>
        <v>0</v>
      </c>
      <c r="I20">
        <f t="shared" si="0"/>
        <v>1738500</v>
      </c>
    </row>
    <row r="21" spans="1:9" ht="12.75">
      <c r="A21">
        <f>IF(A20&lt;100,0,IF('Input Parameters'!$B$28=A20,0,A20+1))</f>
        <v>0</v>
      </c>
      <c r="B21" s="5"/>
      <c r="C21" s="5">
        <f>IF(D20=0,0,$D$8/'Input Parameters'!$B$46)</f>
        <v>0</v>
      </c>
      <c r="D21" s="5">
        <f t="shared" si="1"/>
        <v>0</v>
      </c>
      <c r="E21" s="5">
        <f>D20*'Input Parameters'!$B$44</f>
        <v>0</v>
      </c>
      <c r="F21" s="5">
        <f>IF(I20+F20=$B$8,0,$B$8/'Input Parameters'!$B$43)</f>
        <v>0</v>
      </c>
      <c r="I21">
        <f t="shared" si="0"/>
        <v>1738500</v>
      </c>
    </row>
    <row r="22" spans="1:9" ht="12.75">
      <c r="A22">
        <f>IF(A21&lt;100,0,IF('Input Parameters'!$B$28=A21,0,A21+1))</f>
        <v>0</v>
      </c>
      <c r="B22" s="5"/>
      <c r="C22" s="5">
        <f>IF(D21=0,0,$D$8/'Input Parameters'!$B$46)</f>
        <v>0</v>
      </c>
      <c r="D22" s="5">
        <f t="shared" si="1"/>
        <v>0</v>
      </c>
      <c r="E22" s="5">
        <f>D21*'Input Parameters'!$B$44</f>
        <v>0</v>
      </c>
      <c r="F22" s="5">
        <f>IF(I21+F21=$B$8,0,$B$8/'Input Parameters'!$B$43)</f>
        <v>0</v>
      </c>
      <c r="I22">
        <f t="shared" si="0"/>
        <v>1738500</v>
      </c>
    </row>
    <row r="23" spans="1:9" ht="12.75">
      <c r="A23">
        <f>IF(A22&lt;100,0,IF('Input Parameters'!$B$28=A22,0,A22+1))</f>
        <v>0</v>
      </c>
      <c r="B23" s="5"/>
      <c r="C23" s="5">
        <f>IF(D22=0,0,$D$8/'Input Parameters'!$B$46)</f>
        <v>0</v>
      </c>
      <c r="D23" s="5">
        <f t="shared" si="1"/>
        <v>0</v>
      </c>
      <c r="E23" s="5">
        <f>D22*'Input Parameters'!$B$44</f>
        <v>0</v>
      </c>
      <c r="F23" s="5">
        <f>IF(I22+F22=$B$8,0,$B$8/'Input Parameters'!$B$43)</f>
        <v>0</v>
      </c>
      <c r="I23">
        <f t="shared" si="0"/>
        <v>1738500</v>
      </c>
    </row>
    <row r="24" spans="1:9" ht="12.75">
      <c r="A24">
        <f>IF(A23&lt;100,0,IF('Input Parameters'!$B$28=A23,0,A23+1))</f>
        <v>0</v>
      </c>
      <c r="B24" s="5"/>
      <c r="C24" s="5">
        <f>IF(D23=0,0,$D$8/'Input Parameters'!$B$46)</f>
        <v>0</v>
      </c>
      <c r="D24" s="5">
        <f t="shared" si="1"/>
        <v>0</v>
      </c>
      <c r="E24" s="5">
        <f>D23*'Input Parameters'!$B$44</f>
        <v>0</v>
      </c>
      <c r="F24" s="5">
        <f>IF(I23+F23=$B$8,0,$B$8/'Input Parameters'!$B$43)</f>
        <v>0</v>
      </c>
      <c r="I24">
        <f t="shared" si="0"/>
        <v>1738500</v>
      </c>
    </row>
    <row r="25" spans="1:9" ht="12.75">
      <c r="A25">
        <f>IF(A24&lt;100,0,IF('Input Parameters'!$B$28=A24,0,A24+1))</f>
        <v>0</v>
      </c>
      <c r="B25" s="5"/>
      <c r="C25" s="5">
        <f>IF(D24=0,0,$D$8/'Input Parameters'!$B$46)</f>
        <v>0</v>
      </c>
      <c r="D25" s="5">
        <f t="shared" si="1"/>
        <v>0</v>
      </c>
      <c r="E25" s="5">
        <f>D24*'Input Parameters'!$B$44</f>
        <v>0</v>
      </c>
      <c r="F25" s="5">
        <f>IF(I24+F24=$B$8,0,$B$8/'Input Parameters'!$B$43)</f>
        <v>0</v>
      </c>
      <c r="I25">
        <f t="shared" si="0"/>
        <v>1738500</v>
      </c>
    </row>
    <row r="26" spans="1:9" ht="12.75">
      <c r="A26">
        <f>IF(A25&lt;100,0,IF('Input Parameters'!$B$28=A25,0,A25+1))</f>
        <v>0</v>
      </c>
      <c r="B26" s="5"/>
      <c r="C26" s="5">
        <f>IF(D25=0,0,$D$8/'Input Parameters'!$B$46)</f>
        <v>0</v>
      </c>
      <c r="D26" s="5">
        <f t="shared" si="1"/>
        <v>0</v>
      </c>
      <c r="E26" s="5">
        <f>D25*'Input Parameters'!$B$44</f>
        <v>0</v>
      </c>
      <c r="F26" s="5">
        <f>IF(I25+F25=$B$8,0,$B$8/'Input Parameters'!$B$43)</f>
        <v>0</v>
      </c>
      <c r="I26">
        <f t="shared" si="0"/>
        <v>1738500</v>
      </c>
    </row>
    <row r="27" spans="1:9" ht="12.75">
      <c r="A27">
        <f>IF(A26&lt;100,0,IF('Input Parameters'!$B$28=A26,0,A26+1))</f>
        <v>0</v>
      </c>
      <c r="B27" s="5"/>
      <c r="C27" s="5">
        <f>IF(D26=0,0,$D$8/'Input Parameters'!$B$46)</f>
        <v>0</v>
      </c>
      <c r="D27" s="5">
        <f t="shared" si="1"/>
        <v>0</v>
      </c>
      <c r="E27" s="5">
        <f>D26*'Input Parameters'!$B$44</f>
        <v>0</v>
      </c>
      <c r="F27" s="5">
        <f>IF(I26+F26=$B$8,0,$B$8/'Input Parameters'!$B$43)</f>
        <v>0</v>
      </c>
      <c r="I27">
        <f t="shared" si="0"/>
        <v>1738500</v>
      </c>
    </row>
    <row r="29" spans="3:5" ht="12.75">
      <c r="C29" s="5">
        <f>SUM(C9:C28)</f>
        <v>0</v>
      </c>
      <c r="D29" s="5"/>
      <c r="E29" s="5">
        <f>SUM(E9:E28)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2">
      <selection activeCell="G9" sqref="G9"/>
    </sheetView>
  </sheetViews>
  <sheetFormatPr defaultColWidth="11.421875" defaultRowHeight="12.75"/>
  <cols>
    <col min="2" max="2" width="13.140625" style="0" bestFit="1" customWidth="1"/>
    <col min="3" max="3" width="9.7109375" style="0" customWidth="1"/>
    <col min="5" max="5" width="12.57421875" style="0" bestFit="1" customWidth="1"/>
    <col min="7" max="7" width="12.7109375" style="0" bestFit="1" customWidth="1"/>
    <col min="9" max="9" width="12.28125" style="0" bestFit="1" customWidth="1"/>
  </cols>
  <sheetData>
    <row r="3" spans="1:10" ht="12.75">
      <c r="A3" s="6" t="s">
        <v>8</v>
      </c>
      <c r="B3" s="54" t="s">
        <v>30</v>
      </c>
      <c r="C3" s="54" t="s">
        <v>31</v>
      </c>
      <c r="D3" s="54" t="s">
        <v>0</v>
      </c>
      <c r="E3" s="55" t="s">
        <v>23</v>
      </c>
      <c r="F3" s="54" t="s">
        <v>16</v>
      </c>
      <c r="G3" s="6" t="s">
        <v>24</v>
      </c>
      <c r="H3" s="6" t="s">
        <v>28</v>
      </c>
      <c r="I3" s="6" t="s">
        <v>33</v>
      </c>
      <c r="J3" s="6" t="s">
        <v>25</v>
      </c>
    </row>
    <row r="4" spans="1:10" ht="12.75">
      <c r="A4" s="6"/>
      <c r="B4" s="54"/>
      <c r="C4" s="54"/>
      <c r="D4" s="54"/>
      <c r="E4" s="55"/>
      <c r="F4" s="54"/>
      <c r="G4" s="6" t="s">
        <v>32</v>
      </c>
      <c r="H4" s="6" t="s">
        <v>29</v>
      </c>
      <c r="I4" s="6" t="s">
        <v>34</v>
      </c>
      <c r="J4" s="6" t="s">
        <v>26</v>
      </c>
    </row>
    <row r="5" spans="2:6" ht="12.75">
      <c r="B5" s="50"/>
      <c r="C5" s="50"/>
      <c r="D5" s="50"/>
      <c r="E5" s="52"/>
      <c r="F5" s="50"/>
    </row>
    <row r="6" spans="2:6" ht="12.75">
      <c r="B6" s="50"/>
      <c r="C6" s="50"/>
      <c r="D6" s="50"/>
      <c r="E6" s="52"/>
      <c r="F6" s="50"/>
    </row>
    <row r="7" spans="2:6" ht="12.75">
      <c r="B7" s="50"/>
      <c r="C7" s="50"/>
      <c r="D7" s="50"/>
      <c r="E7" s="52"/>
      <c r="F7" s="50"/>
    </row>
    <row r="8" spans="1:10" ht="12.75">
      <c r="A8">
        <f>'Input Parameters'!$B$26</f>
        <v>2007</v>
      </c>
      <c r="B8" s="51">
        <f>Cashflow1!G5+Cashflow1!H5+Cashflow1!I5+Cashflow1!J5</f>
        <v>0</v>
      </c>
      <c r="C8" s="51">
        <v>0</v>
      </c>
      <c r="D8" s="51">
        <f>Cashflow1!B5</f>
        <v>1738500</v>
      </c>
      <c r="E8" s="53">
        <f>Financing!F8</f>
        <v>0</v>
      </c>
      <c r="F8" s="51">
        <f>Cashflow1!D5</f>
        <v>0</v>
      </c>
      <c r="G8" s="5">
        <f>B8-C8-E8-F8</f>
        <v>0</v>
      </c>
      <c r="H8" s="5">
        <f>IF(G8&lt;0,G8,0)</f>
        <v>0</v>
      </c>
      <c r="I8" s="5">
        <f aca="true" t="shared" si="0" ref="I8:I18">IF(G8&gt;0,IF(G8+H7&gt;0,G8+H7,0),G8)</f>
        <v>0</v>
      </c>
      <c r="J8" s="5">
        <f>IF(I8&gt;0,I8*'Input Parameters'!$B$47,0)</f>
        <v>0</v>
      </c>
    </row>
    <row r="9" spans="1:10" ht="12.75">
      <c r="A9">
        <f>IF(A8&lt;100,0,IF('Input Parameters'!$B$28=A8,0,A8+1))</f>
        <v>2008</v>
      </c>
      <c r="B9" s="51">
        <f>Cashflow1!G6+Cashflow1!H6+Cashflow1!I6+Cashflow1!J6</f>
        <v>191787.45353865004</v>
      </c>
      <c r="C9" s="51">
        <f>Cashflow1!C6</f>
        <v>90800</v>
      </c>
      <c r="D9" s="51">
        <f>Cashflow1!B6</f>
        <v>0</v>
      </c>
      <c r="E9" s="53">
        <f>Financing!F9</f>
        <v>173850</v>
      </c>
      <c r="F9" s="51">
        <f>Cashflow1!D6</f>
        <v>0</v>
      </c>
      <c r="G9" s="5">
        <f>B9-C9-E9-F9</f>
        <v>-72862.54646134996</v>
      </c>
      <c r="H9" s="5">
        <f>IF(H8&lt;=0,IF(G9+H8&lt;0,G9+H8,0),0)</f>
        <v>-72862.54646134996</v>
      </c>
      <c r="I9" s="5">
        <f t="shared" si="0"/>
        <v>-72862.54646134996</v>
      </c>
      <c r="J9" s="5">
        <f>IF(I9&gt;0,I9*'Input Parameters'!$B$47,0)</f>
        <v>0</v>
      </c>
    </row>
    <row r="10" spans="1:10" ht="12.75">
      <c r="A10">
        <f>IF(A9&lt;100,0,IF('Input Parameters'!$B$28=A9,0,A9+1))</f>
        <v>2009</v>
      </c>
      <c r="B10" s="51">
        <f>Cashflow1!G7+Cashflow1!H7+Cashflow1!I7+Cashflow1!J7</f>
        <v>1339206.9250355274</v>
      </c>
      <c r="C10" s="51">
        <f>Cashflow1!C7</f>
        <v>103058</v>
      </c>
      <c r="D10" s="51">
        <f>Cashflow1!B7</f>
        <v>0</v>
      </c>
      <c r="E10" s="53">
        <f>Financing!F10</f>
        <v>173850</v>
      </c>
      <c r="F10" s="51">
        <f>Cashflow1!D7</f>
        <v>0</v>
      </c>
      <c r="G10" s="5">
        <f aca="true" t="shared" si="1" ref="G10:G18">B10-C10-E10-F10</f>
        <v>1062298.9250355274</v>
      </c>
      <c r="H10" s="5">
        <f aca="true" t="shared" si="2" ref="H10:H18">IF(H9&lt;=0,IF(G10+H9&lt;0,G10+H9,0),0)</f>
        <v>0</v>
      </c>
      <c r="I10" s="5">
        <f t="shared" si="0"/>
        <v>989436.3785741775</v>
      </c>
      <c r="J10" s="5">
        <f>IF(I10&gt;0,I10*'Input Parameters'!$B$47,0)</f>
        <v>326514.0049294786</v>
      </c>
    </row>
    <row r="11" spans="1:10" ht="12.75">
      <c r="A11">
        <f>IF(A10&lt;100,0,IF('Input Parameters'!$B$28=A10,0,A10+1))</f>
        <v>2010</v>
      </c>
      <c r="B11" s="51">
        <f>Cashflow1!G8+Cashflow1!H8+Cashflow1!I8+Cashflow1!J8</f>
        <v>1368593.5576039872</v>
      </c>
      <c r="C11" s="51">
        <f>Cashflow1!C8</f>
        <v>116970.82999999999</v>
      </c>
      <c r="D11" s="51">
        <f>Cashflow1!B8</f>
        <v>0</v>
      </c>
      <c r="E11" s="53">
        <f>Financing!F11</f>
        <v>173850</v>
      </c>
      <c r="F11" s="51">
        <f>Cashflow1!D8</f>
        <v>0</v>
      </c>
      <c r="G11" s="5">
        <f t="shared" si="1"/>
        <v>1077772.727603987</v>
      </c>
      <c r="H11" s="5">
        <f t="shared" si="2"/>
        <v>0</v>
      </c>
      <c r="I11" s="5">
        <f t="shared" si="0"/>
        <v>1077772.727603987</v>
      </c>
      <c r="J11" s="5">
        <f>IF(I11&gt;0,I11*'Input Parameters'!$B$47,0)</f>
        <v>355665.00010931573</v>
      </c>
    </row>
    <row r="12" spans="1:10" ht="12.75">
      <c r="A12">
        <f>IF(A11&lt;100,0,IF('Input Parameters'!$B$28=A11,0,A11+1))</f>
        <v>2011</v>
      </c>
      <c r="B12" s="51">
        <f>Cashflow1!G9+Cashflow1!H9+Cashflow1!I9+Cashflow1!J9</f>
        <v>1401947.3855691887</v>
      </c>
      <c r="C12" s="51">
        <f>Cashflow1!C9</f>
        <v>132761.89205</v>
      </c>
      <c r="D12" s="51">
        <f>Cashflow1!B9</f>
        <v>0</v>
      </c>
      <c r="E12" s="53">
        <f>Financing!F12</f>
        <v>173850</v>
      </c>
      <c r="F12" s="51">
        <f>Cashflow1!D9</f>
        <v>0</v>
      </c>
      <c r="G12" s="5">
        <f t="shared" si="1"/>
        <v>1095335.4935191888</v>
      </c>
      <c r="H12" s="5">
        <f t="shared" si="2"/>
        <v>0</v>
      </c>
      <c r="I12" s="5">
        <f t="shared" si="0"/>
        <v>1095335.4935191888</v>
      </c>
      <c r="J12" s="5">
        <f>IF(I12&gt;0,I12*'Input Parameters'!$B$47,0)</f>
        <v>361460.71286133234</v>
      </c>
    </row>
    <row r="13" spans="1:10" ht="12.75">
      <c r="A13">
        <f>IF(A12&lt;100,0,IF('Input Parameters'!$B$28=A12,0,A12+1))</f>
        <v>2012</v>
      </c>
      <c r="B13" s="51">
        <f>Cashflow1!G10+Cashflow1!H10+Cashflow1!I10+Cashflow1!J10</f>
        <v>1439803.9803096927</v>
      </c>
      <c r="C13" s="51">
        <f>Cashflow1!C10</f>
        <v>150684.74747675</v>
      </c>
      <c r="D13" s="51">
        <f>Cashflow1!B10</f>
        <v>0</v>
      </c>
      <c r="E13" s="53">
        <f>Financing!F13</f>
        <v>173850</v>
      </c>
      <c r="F13" s="51">
        <f>Cashflow1!D10</f>
        <v>0</v>
      </c>
      <c r="G13" s="5">
        <f t="shared" si="1"/>
        <v>1115269.2328329426</v>
      </c>
      <c r="H13" s="5">
        <f t="shared" si="2"/>
        <v>0</v>
      </c>
      <c r="I13" s="5">
        <f t="shared" si="0"/>
        <v>1115269.2328329426</v>
      </c>
      <c r="J13" s="5">
        <f>IF(I13&gt;0,I13*'Input Parameters'!$B$47,0)</f>
        <v>368038.8468348711</v>
      </c>
    </row>
    <row r="14" spans="1:10" ht="12.75">
      <c r="A14">
        <f>IF(A13&lt;100,0,IF('Input Parameters'!$B$28=A13,0,A13+1))</f>
        <v>2013</v>
      </c>
      <c r="B14" s="51">
        <f>Cashflow1!G11+Cashflow1!H11+Cashflow1!I11+Cashflow1!J11</f>
        <v>1482771.2153401647</v>
      </c>
      <c r="C14" s="51">
        <f>Cashflow1!C11</f>
        <v>171027.18838611126</v>
      </c>
      <c r="D14" s="51">
        <f>Cashflow1!B11</f>
        <v>0</v>
      </c>
      <c r="E14" s="53">
        <f>Financing!F14</f>
        <v>173850</v>
      </c>
      <c r="F14" s="51">
        <f>Cashflow1!D11</f>
        <v>0</v>
      </c>
      <c r="G14" s="5">
        <f t="shared" si="1"/>
        <v>1137894.0269540534</v>
      </c>
      <c r="H14" s="5">
        <f t="shared" si="2"/>
        <v>0</v>
      </c>
      <c r="I14" s="5">
        <f t="shared" si="0"/>
        <v>1137894.0269540534</v>
      </c>
      <c r="J14" s="5">
        <f>IF(I14&gt;0,I14*'Input Parameters'!$B$47,0)</f>
        <v>375505.02889483765</v>
      </c>
    </row>
    <row r="15" spans="1:10" ht="12.75">
      <c r="A15">
        <f>IF(A14&lt;100,0,IF('Input Parameters'!$B$28=A14,0,A14+1))</f>
        <v>2014</v>
      </c>
      <c r="B15" s="51">
        <f>Cashflow1!G12+Cashflow1!H12+Cashflow1!I12+Cashflow1!J12</f>
        <v>410010.8618305907</v>
      </c>
      <c r="C15" s="51">
        <f>Cashflow1!C12</f>
        <v>194115.85881823627</v>
      </c>
      <c r="D15" s="51">
        <f>Cashflow1!B12</f>
        <v>0</v>
      </c>
      <c r="E15" s="53">
        <f>Financing!F15</f>
        <v>173850</v>
      </c>
      <c r="F15" s="51">
        <f>Cashflow1!D12</f>
        <v>0</v>
      </c>
      <c r="G15" s="5">
        <f t="shared" si="1"/>
        <v>42045.00301235443</v>
      </c>
      <c r="H15" s="5">
        <f t="shared" si="2"/>
        <v>0</v>
      </c>
      <c r="I15" s="5">
        <f t="shared" si="0"/>
        <v>42045.00301235443</v>
      </c>
      <c r="J15" s="5">
        <f>IF(I15&gt;0,I15*'Input Parameters'!$B$47,0)</f>
        <v>13874.850994076962</v>
      </c>
    </row>
    <row r="16" spans="1:10" ht="12.75">
      <c r="A16">
        <f>IF(A15&lt;100,0,IF('Input Parameters'!$B$28=A15,0,A15+1))</f>
        <v>2015</v>
      </c>
      <c r="B16" s="51">
        <f>Cashflow1!G13+Cashflow1!H13+Cashflow1!I13+Cashflow1!J13</f>
        <v>465362.32817772037</v>
      </c>
      <c r="C16" s="51">
        <f>Cashflow1!C13</f>
        <v>220321.49975869813</v>
      </c>
      <c r="D16" s="51">
        <f>Cashflow1!B13</f>
        <v>0</v>
      </c>
      <c r="E16" s="53">
        <f>Financing!F16</f>
        <v>173850</v>
      </c>
      <c r="F16" s="51">
        <f>Cashflow1!D13</f>
        <v>0</v>
      </c>
      <c r="G16" s="5">
        <f t="shared" si="1"/>
        <v>71190.82841902223</v>
      </c>
      <c r="H16" s="5">
        <f t="shared" si="2"/>
        <v>0</v>
      </c>
      <c r="I16" s="5">
        <f t="shared" si="0"/>
        <v>71190.82841902223</v>
      </c>
      <c r="J16" s="5">
        <f>IF(I16&gt;0,I16*'Input Parameters'!$B$47,0)</f>
        <v>23492.973378277336</v>
      </c>
    </row>
    <row r="17" spans="1:10" ht="12.75">
      <c r="A17">
        <f>IF(A16&lt;100,0,IF('Input Parameters'!$B$28=A16,0,A16+1))</f>
        <v>2016</v>
      </c>
      <c r="B17" s="51">
        <f>Cashflow1!G14+Cashflow1!H14+Cashflow1!I14+Cashflow1!J14</f>
        <v>528186.2424817126</v>
      </c>
      <c r="C17" s="51">
        <f>Cashflow1!C14</f>
        <v>250064.9022261224</v>
      </c>
      <c r="D17" s="51">
        <f>Cashflow1!B14</f>
        <v>0</v>
      </c>
      <c r="E17" s="53">
        <f>Financing!F17</f>
        <v>173850</v>
      </c>
      <c r="F17" s="51">
        <f>Cashflow1!D14</f>
        <v>0</v>
      </c>
      <c r="G17" s="5">
        <f t="shared" si="1"/>
        <v>104271.34025559021</v>
      </c>
      <c r="H17" s="5">
        <f t="shared" si="2"/>
        <v>0</v>
      </c>
      <c r="I17" s="5">
        <f t="shared" si="0"/>
        <v>104271.34025559021</v>
      </c>
      <c r="J17" s="5">
        <f>IF(I17&gt;0,I17*'Input Parameters'!$B$47,0)</f>
        <v>34409.542284344774</v>
      </c>
    </row>
    <row r="18" spans="1:10" ht="12.75">
      <c r="A18">
        <f>IF(A17&lt;100,0,IF('Input Parameters'!$B$28=A17,0,A17+1))</f>
        <v>2017</v>
      </c>
      <c r="B18" s="51">
        <f>Cashflow1!G15+Cashflow1!H15+Cashflow1!I15+Cashflow1!J15</f>
        <v>599491.3852167438</v>
      </c>
      <c r="C18" s="51">
        <f>Cashflow1!C15</f>
        <v>283823.6640266489</v>
      </c>
      <c r="D18" s="51">
        <f>Cashflow1!B15</f>
        <v>0</v>
      </c>
      <c r="E18" s="53">
        <f>Financing!F18</f>
        <v>173850</v>
      </c>
      <c r="F18" s="51">
        <f>Cashflow1!D15</f>
        <v>0</v>
      </c>
      <c r="G18" s="5">
        <f t="shared" si="1"/>
        <v>141817.7211900949</v>
      </c>
      <c r="H18" s="5">
        <f t="shared" si="2"/>
        <v>0</v>
      </c>
      <c r="I18" s="5">
        <f t="shared" si="0"/>
        <v>141817.7211900949</v>
      </c>
      <c r="J18" s="5">
        <f>IF(I18&gt;0,I18*'Input Parameters'!$B$47,0)</f>
        <v>46799.84799273132</v>
      </c>
    </row>
    <row r="19" spans="1:10" ht="12.75">
      <c r="A19">
        <f>IF(A18&lt;100,0,IF('Input Parameters'!$B$28=A18,0,A18+1))</f>
        <v>0</v>
      </c>
      <c r="B19" s="51">
        <f>Cashflow1!G16+Cashflow1!H16+Cashflow1!I16+Cashflow1!J16</f>
        <v>0</v>
      </c>
      <c r="C19" s="51">
        <f>Cashflow1!C16</f>
        <v>0</v>
      </c>
      <c r="D19" s="51">
        <f>Cashflow1!B16</f>
        <v>0</v>
      </c>
      <c r="E19" s="53">
        <f>Financing!F19</f>
        <v>0</v>
      </c>
      <c r="F19" s="51">
        <f>Cashflow1!D16</f>
        <v>0</v>
      </c>
      <c r="G19" s="5">
        <f aca="true" t="shared" si="3" ref="G19:G27">B19-C19-E19-F19</f>
        <v>0</v>
      </c>
      <c r="H19" s="5">
        <f aca="true" t="shared" si="4" ref="H19:H27">IF(H18&lt;=0,IF(G19+H18&lt;0,G19+H18,0),0)</f>
        <v>0</v>
      </c>
      <c r="I19" s="5">
        <f aca="true" t="shared" si="5" ref="I19:I27">IF(G19&gt;0,IF(G19+H18&gt;0,G19+H18,0),G19)</f>
        <v>0</v>
      </c>
      <c r="J19" s="5">
        <f>IF(I19&gt;0,I19*'Input Parameters'!$B$47,0)</f>
        <v>0</v>
      </c>
    </row>
    <row r="20" spans="1:10" ht="12.75">
      <c r="A20">
        <f>IF(A19&lt;100,0,IF('Input Parameters'!$B$28=A19,0,A19+1))</f>
        <v>0</v>
      </c>
      <c r="B20" s="51">
        <f>Cashflow1!G17+Cashflow1!H17+Cashflow1!I17+Cashflow1!J17</f>
        <v>0</v>
      </c>
      <c r="C20" s="51">
        <f>Cashflow1!C17</f>
        <v>0</v>
      </c>
      <c r="D20" s="51">
        <f>Cashflow1!B17</f>
        <v>0</v>
      </c>
      <c r="E20" s="53">
        <f>Financing!F20</f>
        <v>0</v>
      </c>
      <c r="F20" s="51">
        <f>Cashflow1!D17</f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51">
        <f>Cashflow1!G18+Cashflow1!H18+Cashflow1!I18+Cashflow1!J18</f>
        <v>0</v>
      </c>
      <c r="C21" s="51">
        <f>Cashflow1!C18</f>
        <v>0</v>
      </c>
      <c r="D21" s="51">
        <f>Cashflow1!B18</f>
        <v>0</v>
      </c>
      <c r="E21" s="53">
        <f>Financing!F21</f>
        <v>0</v>
      </c>
      <c r="F21" s="51">
        <f>Cashflow1!D18</f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51">
        <f>Cashflow1!G19+Cashflow1!H19+Cashflow1!I19+Cashflow1!J19</f>
        <v>0</v>
      </c>
      <c r="C22" s="51">
        <f>Cashflow1!C19</f>
        <v>0</v>
      </c>
      <c r="D22" s="51">
        <f>Cashflow1!B19</f>
        <v>0</v>
      </c>
      <c r="E22" s="53">
        <f>Financing!F22</f>
        <v>0</v>
      </c>
      <c r="F22" s="51">
        <f>Cashflow1!D19</f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51">
        <f>Cashflow1!G20+Cashflow1!H20+Cashflow1!I20+Cashflow1!J20</f>
        <v>0</v>
      </c>
      <c r="C23" s="51">
        <f>Cashflow1!C20</f>
        <v>0</v>
      </c>
      <c r="D23" s="51">
        <f>Cashflow1!B20</f>
        <v>0</v>
      </c>
      <c r="E23" s="53">
        <f>Financing!F23</f>
        <v>0</v>
      </c>
      <c r="F23" s="51">
        <f>Cashflow1!D20</f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51">
        <f>Cashflow1!G21+Cashflow1!H21+Cashflow1!I21+Cashflow1!J21</f>
        <v>0</v>
      </c>
      <c r="C24" s="51">
        <f>Cashflow1!C21</f>
        <v>0</v>
      </c>
      <c r="D24" s="51">
        <f>Cashflow1!B21</f>
        <v>0</v>
      </c>
      <c r="E24" s="53">
        <f>Financing!F24</f>
        <v>0</v>
      </c>
      <c r="F24" s="51">
        <f>Cashflow1!D21</f>
        <v>0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51">
        <f>Cashflow1!G22+Cashflow1!H22+Cashflow1!I22+Cashflow1!J22</f>
        <v>0</v>
      </c>
      <c r="C25" s="51">
        <f>Cashflow1!C22</f>
        <v>0</v>
      </c>
      <c r="D25" s="51">
        <f>Cashflow1!B22</f>
        <v>0</v>
      </c>
      <c r="E25" s="53">
        <f>Financing!F25</f>
        <v>0</v>
      </c>
      <c r="F25" s="51">
        <f>Cashflow1!D22</f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51">
        <f>Cashflow1!G23+Cashflow1!H23+Cashflow1!I23+Cashflow1!J23</f>
        <v>0</v>
      </c>
      <c r="C26" s="51">
        <f>Cashflow1!C23</f>
        <v>0</v>
      </c>
      <c r="D26" s="51">
        <f>Cashflow1!B23</f>
        <v>0</v>
      </c>
      <c r="E26" s="53">
        <f>Financing!F26</f>
        <v>0</v>
      </c>
      <c r="F26" s="51">
        <f>Cashflow1!D23</f>
        <v>0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51">
        <f>Cashflow1!G24+Cashflow1!H24+Cashflow1!I24+Cashflow1!J24</f>
        <v>0</v>
      </c>
      <c r="C27" s="51">
        <f>Cashflow1!C24</f>
        <v>0</v>
      </c>
      <c r="D27" s="51">
        <f>Cashflow1!B24</f>
        <v>0</v>
      </c>
      <c r="E27" s="53">
        <f>Financing!F27</f>
        <v>0</v>
      </c>
      <c r="F27" s="51">
        <f>Cashflow1!D24</f>
        <v>0</v>
      </c>
      <c r="G27" s="5">
        <f t="shared" si="3"/>
        <v>0</v>
      </c>
      <c r="H27" s="5">
        <f t="shared" si="4"/>
        <v>0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1905760.8082792659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7">
      <selection activeCell="B15" sqref="B15:D23"/>
    </sheetView>
  </sheetViews>
  <sheetFormatPr defaultColWidth="11.421875" defaultRowHeight="12.75"/>
  <sheetData>
    <row r="2" spans="2:13" ht="12.75">
      <c r="B2" t="s">
        <v>49</v>
      </c>
      <c r="C2" t="s">
        <v>31</v>
      </c>
      <c r="D2" t="s">
        <v>50</v>
      </c>
      <c r="E2" t="s">
        <v>51</v>
      </c>
      <c r="F2" t="s">
        <v>52</v>
      </c>
      <c r="G2" t="s">
        <v>53</v>
      </c>
      <c r="K2" t="s">
        <v>60</v>
      </c>
      <c r="L2" t="s">
        <v>61</v>
      </c>
      <c r="M2" t="s">
        <v>62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39" t="s">
        <v>49</v>
      </c>
      <c r="C14" s="39" t="s">
        <v>31</v>
      </c>
      <c r="D14" s="39" t="s">
        <v>50</v>
      </c>
      <c r="E14" s="39" t="s">
        <v>51</v>
      </c>
      <c r="F14" s="39" t="s">
        <v>52</v>
      </c>
      <c r="G14" s="39" t="s">
        <v>53</v>
      </c>
      <c r="K14" t="s">
        <v>60</v>
      </c>
      <c r="L14" t="s">
        <v>61</v>
      </c>
      <c r="M14" t="s">
        <v>62</v>
      </c>
    </row>
    <row r="15" spans="1:13" ht="12.75">
      <c r="A15">
        <v>-20</v>
      </c>
      <c r="B15" s="56">
        <v>2.9344560027773756</v>
      </c>
      <c r="C15" s="56">
        <v>3.6639254108855166</v>
      </c>
      <c r="D15" s="56">
        <v>-5.571258881471205</v>
      </c>
      <c r="E15" s="36">
        <v>34.015744243605575</v>
      </c>
      <c r="F15" s="36">
        <v>40.984220102326965</v>
      </c>
      <c r="G15" s="36">
        <v>24.547092920248197</v>
      </c>
      <c r="J15">
        <v>-20</v>
      </c>
      <c r="K15">
        <f aca="true" t="shared" si="3" ref="K15:K23">E15-B15</f>
        <v>31.0812882408282</v>
      </c>
      <c r="L15" t="e">
        <f aca="true" t="shared" si="4" ref="L15:L23">F25-C15</f>
        <v>#VALUE!</v>
      </c>
      <c r="M15">
        <f aca="true" t="shared" si="5" ref="M15:M23">G15-D15</f>
        <v>30.118351801719403</v>
      </c>
    </row>
    <row r="16" spans="1:13" ht="12.75">
      <c r="A16">
        <v>-15</v>
      </c>
      <c r="B16" s="56">
        <v>2.457932627846207</v>
      </c>
      <c r="C16" s="56">
        <v>2.8991458219539674</v>
      </c>
      <c r="D16" s="56">
        <v>-3.5908989619116745</v>
      </c>
      <c r="E16" s="36">
        <v>33.75005644779206</v>
      </c>
      <c r="F16" s="36">
        <v>38.69792276815463</v>
      </c>
      <c r="G16" s="36">
        <v>26.788867146769512</v>
      </c>
      <c r="J16">
        <v>-15</v>
      </c>
      <c r="K16">
        <f t="shared" si="3"/>
        <v>31.292123819945854</v>
      </c>
      <c r="L16">
        <f t="shared" si="4"/>
        <v>-2.8991458219539674</v>
      </c>
      <c r="M16">
        <f t="shared" si="5"/>
        <v>30.379766108681185</v>
      </c>
    </row>
    <row r="17" spans="1:13" ht="12.75">
      <c r="A17">
        <v>-10</v>
      </c>
      <c r="B17" s="56">
        <v>1.9730438802421153</v>
      </c>
      <c r="C17" s="56">
        <v>2.202357930686231</v>
      </c>
      <c r="D17" s="56">
        <v>-1.7860179485406875</v>
      </c>
      <c r="E17" s="36">
        <v>33.48295548230455</v>
      </c>
      <c r="F17" s="36">
        <v>36.61336740557459</v>
      </c>
      <c r="G17" s="36">
        <v>28.910206899600166</v>
      </c>
      <c r="J17">
        <v>-10</v>
      </c>
      <c r="K17">
        <f t="shared" si="3"/>
        <v>31.50991160206243</v>
      </c>
      <c r="L17">
        <f t="shared" si="4"/>
        <v>-2.202357930686231</v>
      </c>
      <c r="M17">
        <f t="shared" si="5"/>
        <v>30.696224848140854</v>
      </c>
    </row>
    <row r="18" spans="1:13" ht="12.75">
      <c r="A18">
        <v>-5</v>
      </c>
      <c r="B18" s="56">
        <v>1.4819085027297552</v>
      </c>
      <c r="C18" s="56">
        <v>1.5664063830725792</v>
      </c>
      <c r="D18" s="56">
        <v>-0.12020083232635029</v>
      </c>
      <c r="E18" s="36">
        <v>33.21440454666829</v>
      </c>
      <c r="F18" s="36">
        <v>34.70303064091736</v>
      </c>
      <c r="G18" s="36">
        <v>30.9567827529859</v>
      </c>
      <c r="J18">
        <v>-5</v>
      </c>
      <c r="K18">
        <f t="shared" si="3"/>
        <v>31.732496043938536</v>
      </c>
      <c r="L18">
        <f t="shared" si="4"/>
        <v>-1.5664063830725792</v>
      </c>
      <c r="M18">
        <f t="shared" si="5"/>
        <v>31.076983585312252</v>
      </c>
    </row>
    <row r="19" spans="1:13" ht="12.75">
      <c r="A19">
        <v>0</v>
      </c>
      <c r="B19" s="56">
        <v>0.9844883782358578</v>
      </c>
      <c r="C19" s="56">
        <v>0.9844883782358578</v>
      </c>
      <c r="D19" s="56">
        <v>0.9844883782358578</v>
      </c>
      <c r="E19" s="36">
        <v>32.9443654432183</v>
      </c>
      <c r="F19" s="36">
        <v>32.9443654432183</v>
      </c>
      <c r="G19" s="36">
        <v>32.9443654432183</v>
      </c>
      <c r="J19">
        <v>0</v>
      </c>
      <c r="K19">
        <f t="shared" si="3"/>
        <v>31.959877064982443</v>
      </c>
      <c r="L19">
        <f t="shared" si="4"/>
        <v>-0.9844883782358578</v>
      </c>
      <c r="M19">
        <f t="shared" si="5"/>
        <v>31.959877064982443</v>
      </c>
    </row>
    <row r="20" spans="1:13" ht="12.75">
      <c r="A20">
        <v>5</v>
      </c>
      <c r="B20" s="56">
        <v>0.48207569458181104</v>
      </c>
      <c r="C20" s="56">
        <v>0.4521964227802245</v>
      </c>
      <c r="D20" s="56">
        <v>2.027714261968418</v>
      </c>
      <c r="E20" s="36">
        <v>32.67279850295899</v>
      </c>
      <c r="F20" s="36">
        <v>31.318701862738475</v>
      </c>
      <c r="G20" s="36">
        <v>34.87883021700532</v>
      </c>
      <c r="J20">
        <v>5</v>
      </c>
      <c r="K20">
        <f t="shared" si="3"/>
        <v>32.19072280837718</v>
      </c>
      <c r="L20">
        <f t="shared" si="4"/>
        <v>-0.4521964227802245</v>
      </c>
      <c r="M20">
        <f t="shared" si="5"/>
        <v>32.8511159550369</v>
      </c>
    </row>
    <row r="21" spans="1:13" ht="12.75">
      <c r="A21">
        <v>10</v>
      </c>
      <c r="B21" s="56">
        <v>-0.03507231091576836</v>
      </c>
      <c r="C21" s="56">
        <v>-0.051872952528360425</v>
      </c>
      <c r="D21" s="56">
        <v>3.040467245521809</v>
      </c>
      <c r="E21" s="36">
        <v>32.39966250632689</v>
      </c>
      <c r="F21" s="36">
        <v>29.81043044916929</v>
      </c>
      <c r="G21" s="36">
        <v>36.765142105570824</v>
      </c>
      <c r="J21">
        <v>10</v>
      </c>
      <c r="K21">
        <f t="shared" si="3"/>
        <v>32.434734817242656</v>
      </c>
      <c r="L21">
        <f t="shared" si="4"/>
        <v>0.051872952528360425</v>
      </c>
      <c r="M21">
        <f t="shared" si="5"/>
        <v>33.724674860049014</v>
      </c>
    </row>
    <row r="22" spans="1:13" ht="12.75">
      <c r="A22">
        <v>15</v>
      </c>
      <c r="B22" s="56">
        <v>-0.8052904344817887</v>
      </c>
      <c r="C22" s="56">
        <v>-0.7281558410081805</v>
      </c>
      <c r="D22" s="56">
        <v>4.0191169353767435</v>
      </c>
      <c r="E22" s="36">
        <v>32.124914598423544</v>
      </c>
      <c r="F22" s="36">
        <v>28.40638634232333</v>
      </c>
      <c r="G22" s="36">
        <v>38.607540942578616</v>
      </c>
      <c r="J22">
        <v>15</v>
      </c>
      <c r="K22">
        <f t="shared" si="3"/>
        <v>32.930205032905334</v>
      </c>
      <c r="L22">
        <f t="shared" si="4"/>
        <v>0.7281558410081805</v>
      </c>
      <c r="M22">
        <f t="shared" si="5"/>
        <v>34.58842400720187</v>
      </c>
    </row>
    <row r="23" spans="1:13" ht="12.75">
      <c r="A23">
        <v>20</v>
      </c>
      <c r="B23" s="56">
        <v>-1.6029694153083256</v>
      </c>
      <c r="C23" s="56">
        <v>-1.366503864148844</v>
      </c>
      <c r="D23" s="56">
        <v>4.963033647137769</v>
      </c>
      <c r="E23" s="36">
        <v>31.848510198242014</v>
      </c>
      <c r="F23" s="57">
        <v>27.095378287445683</v>
      </c>
      <c r="G23" s="36">
        <v>40.409680862973026</v>
      </c>
      <c r="J23">
        <v>20</v>
      </c>
      <c r="K23">
        <f t="shared" si="3"/>
        <v>33.45147961355034</v>
      </c>
      <c r="L23">
        <f t="shared" si="4"/>
        <v>1.366503864148844</v>
      </c>
      <c r="M23">
        <f t="shared" si="5"/>
        <v>35.446647215835256</v>
      </c>
    </row>
    <row r="24" spans="2:7" ht="12.75">
      <c r="B24" s="45" t="s">
        <v>63</v>
      </c>
      <c r="C24" s="58" t="s">
        <v>63</v>
      </c>
      <c r="D24" s="58" t="s">
        <v>63</v>
      </c>
      <c r="E24" s="58" t="s">
        <v>63</v>
      </c>
      <c r="F24" s="58" t="s">
        <v>63</v>
      </c>
      <c r="G24" s="47" t="s">
        <v>63</v>
      </c>
    </row>
    <row r="25" spans="2:7" ht="12.75">
      <c r="B25" s="48" t="s">
        <v>63</v>
      </c>
      <c r="C25" s="46" t="s">
        <v>63</v>
      </c>
      <c r="D25" s="46" t="s">
        <v>63</v>
      </c>
      <c r="E25" s="46" t="s">
        <v>63</v>
      </c>
      <c r="F25" s="46" t="s">
        <v>63</v>
      </c>
      <c r="G25" s="49" t="s">
        <v>63</v>
      </c>
    </row>
    <row r="26" spans="1:7" ht="12.75">
      <c r="A26" s="42" t="s">
        <v>129</v>
      </c>
      <c r="B26" s="59"/>
      <c r="C26" s="43"/>
      <c r="D26" s="43"/>
      <c r="E26" s="43"/>
      <c r="F26" s="43"/>
      <c r="G26" s="44"/>
    </row>
    <row r="27" ht="12.75">
      <c r="G27" s="36"/>
    </row>
    <row r="28" ht="12.75">
      <c r="G28" s="36"/>
    </row>
    <row r="29" ht="12.75">
      <c r="G29" s="36"/>
    </row>
    <row r="30" ht="12.75">
      <c r="G30" s="36"/>
    </row>
    <row r="31" ht="12.75">
      <c r="G31" s="36"/>
    </row>
    <row r="32" ht="12.75">
      <c r="G32" s="36"/>
    </row>
    <row r="33" ht="12.75">
      <c r="G33" s="36"/>
    </row>
    <row r="46" ht="12.75">
      <c r="G46" s="37"/>
    </row>
    <row r="47" ht="12.75">
      <c r="G47" s="38"/>
    </row>
    <row r="48" ht="12.75">
      <c r="G48" s="37"/>
    </row>
    <row r="49" ht="12.75">
      <c r="G49" s="37"/>
    </row>
    <row r="50" ht="12.75">
      <c r="G50" s="37"/>
    </row>
    <row r="51" ht="12.75">
      <c r="G51" s="37"/>
    </row>
    <row r="52" ht="12.75"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8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8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8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8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8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8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8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8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  <row r="242" ht="12.75">
      <c r="G242" s="37"/>
    </row>
    <row r="243" ht="12.75">
      <c r="G243" s="37"/>
    </row>
    <row r="244" ht="12.75">
      <c r="G244" s="37"/>
    </row>
    <row r="245" ht="12.75">
      <c r="G245" s="37"/>
    </row>
    <row r="246" ht="12.75">
      <c r="G246" s="37"/>
    </row>
    <row r="247" ht="12.75">
      <c r="G247" s="37"/>
    </row>
    <row r="248" ht="12.75">
      <c r="G248" s="37"/>
    </row>
    <row r="249" ht="12.75">
      <c r="G249" s="37"/>
    </row>
    <row r="250" ht="12.75">
      <c r="G250" s="37"/>
    </row>
    <row r="251" ht="12.75">
      <c r="G251" s="37"/>
    </row>
    <row r="252" ht="12.75">
      <c r="G252" s="37"/>
    </row>
    <row r="253" ht="12.75">
      <c r="G253" s="37"/>
    </row>
    <row r="254" ht="12.75">
      <c r="G254" s="37"/>
    </row>
    <row r="255" ht="12.75">
      <c r="G255" s="37"/>
    </row>
    <row r="256" ht="12.75">
      <c r="G256" s="37"/>
    </row>
    <row r="257" ht="12.75">
      <c r="G257" s="37"/>
    </row>
    <row r="258" ht="12.75">
      <c r="G258" s="37"/>
    </row>
    <row r="259" ht="12.75">
      <c r="G259" s="37"/>
    </row>
    <row r="260" ht="12.75">
      <c r="G260" s="37"/>
    </row>
    <row r="261" ht="12.75">
      <c r="G261" s="37"/>
    </row>
    <row r="262" ht="12.75">
      <c r="G262" s="37"/>
    </row>
    <row r="263" ht="12.75">
      <c r="G263" s="37"/>
    </row>
    <row r="264" ht="12.75">
      <c r="G264" s="37"/>
    </row>
    <row r="265" ht="12.75">
      <c r="G265" s="37"/>
    </row>
    <row r="266" ht="12.75">
      <c r="G266" s="37"/>
    </row>
    <row r="267" ht="12.75">
      <c r="G267" s="37"/>
    </row>
    <row r="268" ht="12.75">
      <c r="G268" s="37"/>
    </row>
    <row r="269" ht="12.75">
      <c r="G269" s="37"/>
    </row>
    <row r="270" ht="12.75">
      <c r="G270" s="37"/>
    </row>
    <row r="271" ht="12.75">
      <c r="G271" s="37"/>
    </row>
    <row r="272" ht="12.75">
      <c r="G272" s="37"/>
    </row>
    <row r="273" ht="12.75">
      <c r="G273" s="37"/>
    </row>
    <row r="274" ht="12.75">
      <c r="G274" s="37"/>
    </row>
    <row r="275" ht="12.75">
      <c r="G275" s="37"/>
    </row>
    <row r="276" ht="12.75">
      <c r="G276" s="37"/>
    </row>
    <row r="277" ht="12.75">
      <c r="G277" s="37"/>
    </row>
    <row r="278" ht="12.75">
      <c r="G278" s="37"/>
    </row>
    <row r="279" ht="12.75">
      <c r="G279" s="37"/>
    </row>
    <row r="280" ht="12.75">
      <c r="G280" s="37"/>
    </row>
    <row r="281" ht="12.75">
      <c r="G281" s="37"/>
    </row>
    <row r="282" ht="12.75">
      <c r="G282" s="37"/>
    </row>
    <row r="283" ht="12.75">
      <c r="G283" s="37"/>
    </row>
    <row r="284" ht="12.75">
      <c r="G284" s="37"/>
    </row>
    <row r="285" ht="12.75">
      <c r="G285" s="37"/>
    </row>
    <row r="286" ht="12.75">
      <c r="G286" s="37"/>
    </row>
    <row r="287" ht="12.75">
      <c r="G287" s="37"/>
    </row>
    <row r="288" ht="12.75">
      <c r="G288" s="37"/>
    </row>
    <row r="289" ht="12.75">
      <c r="G289" s="37"/>
    </row>
    <row r="290" ht="12.75">
      <c r="G290" s="37"/>
    </row>
    <row r="291" ht="12.75">
      <c r="G291" s="37"/>
    </row>
    <row r="292" ht="12.75">
      <c r="G292" s="37"/>
    </row>
    <row r="293" ht="12.75">
      <c r="G293" s="37"/>
    </row>
    <row r="294" ht="12.75">
      <c r="G294" s="37"/>
    </row>
    <row r="295" ht="12.75">
      <c r="G295" s="37"/>
    </row>
    <row r="296" ht="12.75">
      <c r="G296" s="37"/>
    </row>
    <row r="297" ht="12.75">
      <c r="G297" s="37"/>
    </row>
    <row r="298" ht="12.75">
      <c r="G298" s="37"/>
    </row>
    <row r="299" ht="12.75">
      <c r="G299" s="37"/>
    </row>
    <row r="300" ht="12.75">
      <c r="G300" s="37"/>
    </row>
    <row r="301" ht="12.75">
      <c r="G301" s="37"/>
    </row>
    <row r="302" ht="12.75">
      <c r="G302" s="37"/>
    </row>
    <row r="303" ht="12.75">
      <c r="G303" s="3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K15" sqref="K15"/>
    </sheetView>
  </sheetViews>
  <sheetFormatPr defaultColWidth="11.421875" defaultRowHeight="12.75"/>
  <cols>
    <col min="3" max="3" width="9.140625" style="0" bestFit="1" customWidth="1"/>
    <col min="4" max="4" width="8.8515625" style="0" customWidth="1"/>
  </cols>
  <sheetData>
    <row r="2" spans="2:5" ht="12.75">
      <c r="B2" t="s">
        <v>90</v>
      </c>
      <c r="E2" s="108" t="s">
        <v>89</v>
      </c>
    </row>
    <row r="3" ht="12.75">
      <c r="J3" t="s">
        <v>125</v>
      </c>
    </row>
    <row r="6" spans="10:11" ht="12.75">
      <c r="J6" s="109" t="s">
        <v>127</v>
      </c>
      <c r="K6" t="s">
        <v>126</v>
      </c>
    </row>
    <row r="7" spans="10:11" ht="12.75">
      <c r="J7">
        <v>2003</v>
      </c>
      <c r="K7" s="115">
        <v>-0.012</v>
      </c>
    </row>
    <row r="8" spans="10:11" ht="12.75">
      <c r="J8">
        <v>2004</v>
      </c>
      <c r="K8" s="115">
        <v>0.052</v>
      </c>
    </row>
    <row r="9" spans="10:11" ht="12.75">
      <c r="J9">
        <v>2005</v>
      </c>
      <c r="K9" s="115">
        <v>0.12</v>
      </c>
    </row>
    <row r="10" spans="10:11" ht="12.75">
      <c r="J10">
        <v>2006</v>
      </c>
      <c r="K10" s="115">
        <v>0.135</v>
      </c>
    </row>
    <row r="11" spans="10:11" ht="12.75">
      <c r="J11">
        <v>2007</v>
      </c>
      <c r="K11" s="115">
        <v>0.116</v>
      </c>
    </row>
    <row r="12" spans="10:11" ht="12.75">
      <c r="J12">
        <v>2008</v>
      </c>
      <c r="K12" s="115">
        <v>0.113</v>
      </c>
    </row>
    <row r="13" ht="12.75">
      <c r="J13" t="s">
        <v>128</v>
      </c>
    </row>
    <row r="23" spans="2:6" ht="12.75">
      <c r="B23" t="s">
        <v>91</v>
      </c>
      <c r="E23">
        <v>0.15</v>
      </c>
      <c r="F23" t="s">
        <v>92</v>
      </c>
    </row>
    <row r="24" ht="12.75">
      <c r="F24" t="s">
        <v>93</v>
      </c>
    </row>
    <row r="25" spans="3:4" ht="12.75">
      <c r="C25" s="109" t="s">
        <v>96</v>
      </c>
      <c r="D25" s="109" t="s">
        <v>12</v>
      </c>
    </row>
    <row r="26" spans="2:4" ht="12.75">
      <c r="B26" t="s">
        <v>94</v>
      </c>
      <c r="C26" s="5">
        <v>5600000</v>
      </c>
      <c r="D26" s="5">
        <f>C26*$E$23</f>
        <v>840000</v>
      </c>
    </row>
    <row r="27" spans="2:4" ht="12.75">
      <c r="B27" t="s">
        <v>95</v>
      </c>
      <c r="C27" s="5">
        <v>3990000</v>
      </c>
      <c r="D27" s="5">
        <f>C27*$E$23</f>
        <v>598500</v>
      </c>
    </row>
    <row r="28" spans="2:4" ht="12.75">
      <c r="B28" t="s">
        <v>99</v>
      </c>
      <c r="C28" s="39">
        <v>124.7</v>
      </c>
      <c r="D28" s="114">
        <f>C28*$E$23</f>
        <v>18.705</v>
      </c>
    </row>
  </sheetData>
  <hyperlinks>
    <hyperlink ref="E2" r:id="rId1" display="http://de.finance.yahoo.com"/>
  </hyperlinks>
  <printOptions/>
  <pageMargins left="0.75" right="0.75" top="1" bottom="1" header="0.4921259845" footer="0.4921259845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6" sqref="D26"/>
    </sheetView>
  </sheetViews>
  <sheetFormatPr defaultColWidth="11.421875" defaultRowHeight="12.75"/>
  <cols>
    <col min="1" max="1" width="19.8515625" style="0" bestFit="1" customWidth="1"/>
  </cols>
  <sheetData>
    <row r="1" ht="12.75">
      <c r="A1" s="6" t="s">
        <v>101</v>
      </c>
    </row>
    <row r="3" spans="1:2" ht="12.75">
      <c r="A3" t="s">
        <v>102</v>
      </c>
      <c r="B3" t="s">
        <v>106</v>
      </c>
    </row>
    <row r="4" ht="12.75">
      <c r="B4" t="s">
        <v>107</v>
      </c>
    </row>
    <row r="5" ht="12.75">
      <c r="B5" t="s">
        <v>108</v>
      </c>
    </row>
    <row r="6" ht="12.75">
      <c r="B6" t="s">
        <v>109</v>
      </c>
    </row>
    <row r="7" spans="1:2" ht="12.75">
      <c r="A7" t="s">
        <v>103</v>
      </c>
      <c r="B7" t="s">
        <v>110</v>
      </c>
    </row>
    <row r="9" spans="1:2" ht="12.75">
      <c r="A9" t="s">
        <v>104</v>
      </c>
      <c r="B9" t="s">
        <v>111</v>
      </c>
    </row>
    <row r="11" ht="12.75">
      <c r="B11" t="s">
        <v>112</v>
      </c>
    </row>
    <row r="12" spans="1:3" ht="12.75">
      <c r="A12" s="99"/>
      <c r="B12" s="112" t="s">
        <v>113</v>
      </c>
      <c r="C12" s="112" t="s">
        <v>114</v>
      </c>
    </row>
    <row r="13" spans="1:3" ht="12.75">
      <c r="A13" t="s">
        <v>115</v>
      </c>
      <c r="B13">
        <v>26.7</v>
      </c>
      <c r="C13" s="36">
        <f>B13/3.6</f>
        <v>7.416666666666666</v>
      </c>
    </row>
    <row r="14" spans="1:3" ht="12.75">
      <c r="A14" t="s">
        <v>116</v>
      </c>
      <c r="B14">
        <v>28.2</v>
      </c>
      <c r="C14" s="36">
        <f>B14/3.6</f>
        <v>7.833333333333333</v>
      </c>
    </row>
    <row r="15" spans="1:6" ht="12.75">
      <c r="A15" t="s">
        <v>105</v>
      </c>
      <c r="B15">
        <v>25.8</v>
      </c>
      <c r="C15" s="113">
        <f>B15/3.6</f>
        <v>7.166666666666667</v>
      </c>
      <c r="D15" t="s">
        <v>117</v>
      </c>
      <c r="F15" t="s">
        <v>123</v>
      </c>
    </row>
    <row r="16" spans="1:3" ht="12.75">
      <c r="A16" t="s">
        <v>118</v>
      </c>
      <c r="B16">
        <v>18.9</v>
      </c>
      <c r="C16" s="36">
        <f>B16/3.6</f>
        <v>5.249999999999999</v>
      </c>
    </row>
    <row r="19" spans="1:2" ht="12.75">
      <c r="A19" t="s">
        <v>119</v>
      </c>
      <c r="B19" t="s">
        <v>120</v>
      </c>
    </row>
    <row r="20" spans="1:3" ht="12.75">
      <c r="A20">
        <v>2006</v>
      </c>
      <c r="B20" s="39">
        <v>124.7</v>
      </c>
      <c r="C20" t="s">
        <v>121</v>
      </c>
    </row>
    <row r="21" spans="1:3" ht="12.75">
      <c r="A21" s="109">
        <v>2007</v>
      </c>
      <c r="B21">
        <v>180</v>
      </c>
      <c r="C21" t="s">
        <v>122</v>
      </c>
    </row>
    <row r="22" spans="1:3" ht="12.75">
      <c r="A22">
        <v>2008</v>
      </c>
      <c r="B22" s="90">
        <v>222.2</v>
      </c>
      <c r="C22" t="s">
        <v>124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Adam Hadulla</cp:lastModifiedBy>
  <cp:lastPrinted>2001-03-19T15:38:09Z</cp:lastPrinted>
  <dcterms:created xsi:type="dcterms:W3CDTF">2001-03-19T15:23:51Z</dcterms:created>
  <dcterms:modified xsi:type="dcterms:W3CDTF">2008-10-08T09:22:19Z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