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3620" tabRatio="717" activeTab="0"/>
  </bookViews>
  <sheets>
    <sheet name="ER-KD-MR002" sheetId="1" r:id="rId1"/>
  </sheets>
  <definedNames>
    <definedName name="_xlnm.Print_Area" localSheetId="0">'ER-KD-MR002'!$A$1:$AW$34</definedName>
    <definedName name="OLE_LINK10" localSheetId="0">'ER-KD-MR002'!$X$4</definedName>
    <definedName name="OLE_LINK11" localSheetId="0">'ER-KD-MR002'!$X$5</definedName>
    <definedName name="OLE_LINK12" localSheetId="0">'ER-KD-MR002'!$AB$5</definedName>
    <definedName name="OLE_LINK3" localSheetId="0">'ER-KD-MR002'!$M$5</definedName>
    <definedName name="OLE_LINK4" localSheetId="0">'ER-KD-MR002'!$S$4</definedName>
    <definedName name="OLE_LINK5" localSheetId="0">'ER-KD-MR002'!$S$5</definedName>
    <definedName name="OLE_LINK7" localSheetId="0">'ER-KD-MR002'!$W$4</definedName>
    <definedName name="OLE_LINK8" localSheetId="0">'ER-KD-MR002'!$W$5</definedName>
  </definedNames>
  <calcPr fullCalcOnLoad="1"/>
</workbook>
</file>

<file path=xl/comments1.xml><?xml version="1.0" encoding="utf-8"?>
<comments xmlns="http://schemas.openxmlformats.org/spreadsheetml/2006/main">
  <authors>
    <author>Adam Hadulla</author>
    <author>A-TEC</author>
    <author>Mitarbeiter</author>
  </authors>
  <commentList>
    <comment ref="M10" authorId="0">
      <text>
        <r>
          <rPr>
            <b/>
            <sz val="8"/>
            <rFont val="Tahoma"/>
            <family val="0"/>
          </rPr>
          <t>Adam Hadulla:</t>
        </r>
        <r>
          <rPr>
            <sz val="8"/>
            <rFont val="Tahoma"/>
            <family val="0"/>
          </rPr>
          <t xml:space="preserve">
2008 := 0.695 tCO2eq/MWh
2009 := 0.680
2010 := 0.666
2011 := 0.651
2012 := 0.636
[SenterNovem]</t>
        </r>
      </text>
    </comment>
    <comment ref="N7"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850°C
99.5% above 850°C
This calculation can't be done with monthly sums.
See xls-files (data sources) for details</t>
        </r>
      </text>
    </comment>
    <comment ref="Q10" authorId="0">
      <text>
        <r>
          <rPr>
            <b/>
            <sz val="8"/>
            <rFont val="Tahoma"/>
            <family val="0"/>
          </rPr>
          <t>Adam Hadulla:</t>
        </r>
        <r>
          <rPr>
            <sz val="8"/>
            <rFont val="Tahoma"/>
            <family val="0"/>
          </rPr>
          <t xml:space="preserve">
0 for the whole monitoring period
</t>
        </r>
      </text>
    </comment>
    <comment ref="R10" authorId="0">
      <text>
        <r>
          <rPr>
            <b/>
            <sz val="8"/>
            <rFont val="Tahoma"/>
            <family val="0"/>
          </rPr>
          <t>Adam Hadulla:</t>
        </r>
        <r>
          <rPr>
            <sz val="8"/>
            <rFont val="Tahoma"/>
            <family val="0"/>
          </rPr>
          <t xml:space="preserve">
0 for the whole monitoring period
</t>
        </r>
      </text>
    </comment>
    <comment ref="S10" authorId="0">
      <text>
        <r>
          <rPr>
            <b/>
            <sz val="8"/>
            <rFont val="Tahoma"/>
            <family val="0"/>
          </rPr>
          <t>Adam Hadulla:</t>
        </r>
        <r>
          <rPr>
            <sz val="8"/>
            <rFont val="Tahoma"/>
            <family val="0"/>
          </rPr>
          <t xml:space="preserve">
not required because MM</t>
        </r>
        <r>
          <rPr>
            <sz val="6"/>
            <rFont val="Tahoma"/>
            <family val="2"/>
          </rPr>
          <t>ELEC</t>
        </r>
        <r>
          <rPr>
            <sz val="8"/>
            <rFont val="Tahoma"/>
            <family val="0"/>
          </rPr>
          <t>=0 for the whole monitoring period</t>
        </r>
      </text>
    </comment>
    <comment ref="V10" authorId="0">
      <text>
        <r>
          <rPr>
            <b/>
            <sz val="8"/>
            <rFont val="Tahoma"/>
            <family val="0"/>
          </rPr>
          <t>Adam Hadulla:</t>
        </r>
        <r>
          <rPr>
            <sz val="8"/>
            <rFont val="Tahoma"/>
            <family val="0"/>
          </rPr>
          <t xml:space="preserve">
ex-ante value
constant</t>
        </r>
      </text>
    </comment>
    <comment ref="W10" authorId="0">
      <text>
        <r>
          <rPr>
            <b/>
            <sz val="8"/>
            <rFont val="Tahoma"/>
            <family val="0"/>
          </rPr>
          <t>Adam Hadulla:</t>
        </r>
        <r>
          <rPr>
            <sz val="8"/>
            <rFont val="Tahoma"/>
            <family val="0"/>
          </rPr>
          <t xml:space="preserve">
ex-ante value
constant</t>
        </r>
      </text>
    </comment>
    <comment ref="AB7" authorId="0">
      <text>
        <r>
          <rPr>
            <b/>
            <sz val="8"/>
            <rFont val="Tahoma"/>
            <family val="0"/>
          </rPr>
          <t>Adam Hadulla:</t>
        </r>
        <r>
          <rPr>
            <sz val="8"/>
            <rFont val="Tahoma"/>
            <family val="0"/>
          </rPr>
          <t xml:space="preserve">
ex-ante value
constant</t>
        </r>
      </text>
    </comment>
    <comment ref="AG10" authorId="0">
      <text>
        <r>
          <rPr>
            <b/>
            <sz val="8"/>
            <rFont val="Tahoma"/>
            <family val="0"/>
          </rPr>
          <t>Adam Hadulla:</t>
        </r>
        <r>
          <rPr>
            <sz val="8"/>
            <rFont val="Tahoma"/>
            <family val="0"/>
          </rPr>
          <t xml:space="preserve">
ex-ante value
constant</t>
        </r>
      </text>
    </comment>
    <comment ref="AL10" authorId="0">
      <text>
        <r>
          <rPr>
            <b/>
            <sz val="8"/>
            <rFont val="Tahoma"/>
            <family val="0"/>
          </rPr>
          <t>Adam Hadulla:</t>
        </r>
        <r>
          <rPr>
            <sz val="8"/>
            <rFont val="Tahoma"/>
            <family val="0"/>
          </rPr>
          <t xml:space="preserve">
ex-ante value 
constant
IPCC 2006</t>
        </r>
      </text>
    </comment>
    <comment ref="AI10" authorId="0">
      <text>
        <r>
          <rPr>
            <b/>
            <sz val="8"/>
            <rFont val="Tahoma"/>
            <family val="0"/>
          </rPr>
          <t>Adam Hadulla:</t>
        </r>
        <r>
          <rPr>
            <sz val="8"/>
            <rFont val="Tahoma"/>
            <family val="0"/>
          </rPr>
          <t xml:space="preserve">
0 for the whole monitoring period
</t>
        </r>
      </text>
    </comment>
    <comment ref="AH10" authorId="0">
      <text>
        <r>
          <rPr>
            <b/>
            <sz val="8"/>
            <rFont val="Tahoma"/>
            <family val="0"/>
          </rPr>
          <t>Adam Hadulla:</t>
        </r>
        <r>
          <rPr>
            <sz val="8"/>
            <rFont val="Tahoma"/>
            <family val="0"/>
          </rPr>
          <t xml:space="preserve">
ex-ante value
constant</t>
        </r>
      </text>
    </comment>
    <comment ref="AK10" authorId="0">
      <text>
        <r>
          <rPr>
            <b/>
            <sz val="8"/>
            <rFont val="Tahoma"/>
            <family val="0"/>
          </rPr>
          <t>Adam Hadulla:</t>
        </r>
        <r>
          <rPr>
            <sz val="8"/>
            <rFont val="Tahoma"/>
            <family val="0"/>
          </rPr>
          <t xml:space="preserve">
2008 := 0.695 tCO2eq/MWh
2009 := 0.680
2010 := 0.666
2011 := 0.651
2012 := 0.636
[SenterNovem]</t>
        </r>
      </text>
    </comment>
    <comment ref="K7" authorId="0">
      <text>
        <r>
          <rPr>
            <b/>
            <sz val="10"/>
            <rFont val="Tahoma"/>
            <family val="0"/>
          </rPr>
          <t>Adam Hadulla:</t>
        </r>
        <r>
          <rPr>
            <sz val="10"/>
            <rFont val="Tahoma"/>
            <family val="0"/>
          </rPr>
          <t xml:space="preserve">
Formula modified, uncombusted methane from flaring 
= MM</t>
        </r>
        <r>
          <rPr>
            <sz val="7"/>
            <rFont val="Tahoma"/>
            <family val="2"/>
          </rPr>
          <t>FL</t>
        </r>
        <r>
          <rPr>
            <sz val="10"/>
            <rFont val="Tahoma"/>
            <family val="0"/>
          </rPr>
          <t>-MD</t>
        </r>
        <r>
          <rPr>
            <sz val="7"/>
            <rFont val="Tahoma"/>
            <family val="2"/>
          </rPr>
          <t>FL</t>
        </r>
      </text>
    </comment>
    <comment ref="AM10" authorId="0">
      <text>
        <r>
          <rPr>
            <b/>
            <sz val="8"/>
            <rFont val="Tahoma"/>
            <family val="0"/>
          </rPr>
          <t>Adam Hadulla:</t>
        </r>
        <r>
          <rPr>
            <sz val="8"/>
            <rFont val="Tahoma"/>
            <family val="0"/>
          </rPr>
          <t xml:space="preserve">
ex-ante value 
constant
manufacturer date
boiler pass</t>
        </r>
      </text>
    </comment>
    <comment ref="P5" authorId="1">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KD-Data sheets. </t>
        </r>
        <r>
          <rPr>
            <sz val="8"/>
            <rFont val="Tahoma"/>
            <family val="0"/>
          </rPr>
          <t xml:space="preserve">
</t>
        </r>
      </text>
    </comment>
    <comment ref="AN9" authorId="2">
      <text>
        <r>
          <rPr>
            <b/>
            <sz val="10"/>
            <rFont val="Tahoma"/>
            <family val="0"/>
          </rPr>
          <t>Adam Hadulla:</t>
        </r>
        <r>
          <rPr>
            <sz val="10"/>
            <rFont val="Tahoma"/>
            <family val="0"/>
          </rPr>
          <t xml:space="preserve">
no data available, max value taken into account</t>
        </r>
      </text>
    </comment>
    <comment ref="AO9" authorId="2">
      <text>
        <r>
          <rPr>
            <b/>
            <sz val="10"/>
            <rFont val="Tahoma"/>
            <family val="0"/>
          </rPr>
          <t>Adam Hadulla:</t>
        </r>
        <r>
          <rPr>
            <sz val="10"/>
            <rFont val="Tahoma"/>
            <family val="0"/>
          </rPr>
          <t xml:space="preserve">
no data available, max value taken into account</t>
        </r>
      </text>
    </comment>
    <comment ref="AP9" authorId="2">
      <text>
        <r>
          <rPr>
            <b/>
            <sz val="10"/>
            <rFont val="Tahoma"/>
            <family val="0"/>
          </rPr>
          <t>Adam Hadulla:</t>
        </r>
        <r>
          <rPr>
            <sz val="10"/>
            <rFont val="Tahoma"/>
            <family val="0"/>
          </rPr>
          <t xml:space="preserve">
no data available, max value taken into account</t>
        </r>
      </text>
    </comment>
    <comment ref="AQ9" authorId="2">
      <text>
        <r>
          <rPr>
            <b/>
            <sz val="10"/>
            <rFont val="Tahoma"/>
            <family val="0"/>
          </rPr>
          <t>Adam Hadulla:</t>
        </r>
        <r>
          <rPr>
            <sz val="10"/>
            <rFont val="Tahoma"/>
            <family val="0"/>
          </rPr>
          <t xml:space="preserve">
no data available, max value taken into account</t>
        </r>
      </text>
    </comment>
    <comment ref="AN22" authorId="2">
      <text>
        <r>
          <rPr>
            <b/>
            <sz val="10"/>
            <rFont val="Tahoma"/>
            <family val="2"/>
          </rPr>
          <t>Adam Hadulla:</t>
        </r>
        <r>
          <rPr>
            <sz val="10"/>
            <rFont val="Tahoma"/>
            <family val="0"/>
          </rPr>
          <t xml:space="preserve">
no data available until April 2010, max value taken into account</t>
        </r>
      </text>
    </comment>
    <comment ref="AW10" authorId="2">
      <text>
        <r>
          <rPr>
            <b/>
            <sz val="10"/>
            <rFont val="Tahoma"/>
            <family val="2"/>
          </rPr>
          <t>Adam Hadulla:</t>
        </r>
        <r>
          <rPr>
            <sz val="10"/>
            <rFont val="Tahoma"/>
            <family val="0"/>
          </rPr>
          <t xml:space="preserve">
no data available, max value taken into account</t>
        </r>
      </text>
    </comment>
    <comment ref="AV10" authorId="2">
      <text>
        <r>
          <rPr>
            <b/>
            <sz val="10"/>
            <rFont val="Tahoma"/>
            <family val="2"/>
          </rPr>
          <t>Adam Hadulla:</t>
        </r>
        <r>
          <rPr>
            <sz val="10"/>
            <rFont val="Tahoma"/>
            <family val="0"/>
          </rPr>
          <t xml:space="preserve">
no data available, max value taken into account</t>
        </r>
      </text>
    </comment>
    <comment ref="AV11" authorId="2">
      <text>
        <r>
          <rPr>
            <b/>
            <sz val="10"/>
            <rFont val="Tahoma"/>
            <family val="2"/>
          </rPr>
          <t>Adam Hadulla:</t>
        </r>
        <r>
          <rPr>
            <sz val="10"/>
            <rFont val="Tahoma"/>
            <family val="0"/>
          </rPr>
          <t xml:space="preserve">
no data available, max value taken into account</t>
        </r>
      </text>
    </comment>
    <comment ref="AW11" authorId="2">
      <text>
        <r>
          <rPr>
            <b/>
            <sz val="10"/>
            <rFont val="Tahoma"/>
            <family val="2"/>
          </rPr>
          <t>Adam Hadulla:</t>
        </r>
        <r>
          <rPr>
            <sz val="10"/>
            <rFont val="Tahoma"/>
            <family val="0"/>
          </rPr>
          <t xml:space="preserve">
no data available, max value taken into account</t>
        </r>
      </text>
    </comment>
    <comment ref="AW12" authorId="2">
      <text>
        <r>
          <rPr>
            <b/>
            <sz val="10"/>
            <rFont val="Tahoma"/>
            <family val="2"/>
          </rPr>
          <t>Adam Hadulla:</t>
        </r>
        <r>
          <rPr>
            <sz val="10"/>
            <rFont val="Tahoma"/>
            <family val="0"/>
          </rPr>
          <t xml:space="preserve">
no data available, max value taken into account</t>
        </r>
      </text>
    </comment>
    <comment ref="AW13" authorId="2">
      <text>
        <r>
          <rPr>
            <b/>
            <sz val="10"/>
            <rFont val="Tahoma"/>
            <family val="2"/>
          </rPr>
          <t>Adam Hadulla:</t>
        </r>
        <r>
          <rPr>
            <sz val="10"/>
            <rFont val="Tahoma"/>
            <family val="0"/>
          </rPr>
          <t xml:space="preserve">
no data available, max value taken into account</t>
        </r>
      </text>
    </comment>
    <comment ref="AV13" authorId="2">
      <text>
        <r>
          <rPr>
            <b/>
            <sz val="10"/>
            <rFont val="Tahoma"/>
            <family val="2"/>
          </rPr>
          <t>Adam Hadulla:</t>
        </r>
        <r>
          <rPr>
            <sz val="10"/>
            <rFont val="Tahoma"/>
            <family val="0"/>
          </rPr>
          <t xml:space="preserve">
no data available, max value taken into account</t>
        </r>
      </text>
    </comment>
    <comment ref="AV12" authorId="2">
      <text>
        <r>
          <rPr>
            <b/>
            <sz val="10"/>
            <rFont val="Tahoma"/>
            <family val="2"/>
          </rPr>
          <t>Adam Hadulla:</t>
        </r>
        <r>
          <rPr>
            <sz val="10"/>
            <rFont val="Tahoma"/>
            <family val="0"/>
          </rPr>
          <t xml:space="preserve">
no data available, max value taken into account</t>
        </r>
      </text>
    </comment>
    <comment ref="AO22" authorId="2">
      <text>
        <r>
          <rPr>
            <b/>
            <sz val="10"/>
            <rFont val="Tahoma"/>
            <family val="2"/>
          </rPr>
          <t>Adam Hadulla:</t>
        </r>
        <r>
          <rPr>
            <sz val="10"/>
            <rFont val="Tahoma"/>
            <family val="0"/>
          </rPr>
          <t xml:space="preserve">
no data available until April 2010, max value taken into account</t>
        </r>
      </text>
    </comment>
    <comment ref="AP22" authorId="2">
      <text>
        <r>
          <rPr>
            <b/>
            <sz val="10"/>
            <rFont val="Tahoma"/>
            <family val="2"/>
          </rPr>
          <t>Adam Hadulla:</t>
        </r>
        <r>
          <rPr>
            <sz val="10"/>
            <rFont val="Tahoma"/>
            <family val="0"/>
          </rPr>
          <t xml:space="preserve">
no data available until April 2010, max value taken into account</t>
        </r>
      </text>
    </comment>
    <comment ref="AQ22" authorId="2">
      <text>
        <r>
          <rPr>
            <b/>
            <sz val="10"/>
            <rFont val="Tahoma"/>
            <family val="2"/>
          </rPr>
          <t>Adam Hadulla:</t>
        </r>
        <r>
          <rPr>
            <sz val="10"/>
            <rFont val="Tahoma"/>
            <family val="0"/>
          </rPr>
          <t xml:space="preserve">
no data available until April 2010, max value taken into account</t>
        </r>
      </text>
    </comment>
    <comment ref="AV7" authorId="2">
      <text>
        <r>
          <rPr>
            <b/>
            <sz val="10"/>
            <rFont val="Tahoma"/>
            <family val="2"/>
          </rPr>
          <t>Adam Hadulla:</t>
        </r>
        <r>
          <rPr>
            <sz val="10"/>
            <rFont val="Tahoma"/>
            <family val="0"/>
          </rPr>
          <t xml:space="preserve">
no data available, max value taken into account</t>
        </r>
      </text>
    </comment>
    <comment ref="AW7" authorId="2">
      <text>
        <r>
          <rPr>
            <b/>
            <sz val="10"/>
            <rFont val="Tahoma"/>
            <family val="2"/>
          </rPr>
          <t>Adam Hadulla:</t>
        </r>
        <r>
          <rPr>
            <sz val="10"/>
            <rFont val="Tahoma"/>
            <family val="0"/>
          </rPr>
          <t xml:space="preserve">
no data available, max value taken into account</t>
        </r>
      </text>
    </comment>
    <comment ref="AV8" authorId="2">
      <text>
        <r>
          <rPr>
            <b/>
            <sz val="10"/>
            <rFont val="Tahoma"/>
            <family val="2"/>
          </rPr>
          <t>Adam Hadulla:</t>
        </r>
        <r>
          <rPr>
            <sz val="10"/>
            <rFont val="Tahoma"/>
            <family val="0"/>
          </rPr>
          <t xml:space="preserve">
no data available, max value taken into account</t>
        </r>
      </text>
    </comment>
    <comment ref="AW8" authorId="2">
      <text>
        <r>
          <rPr>
            <b/>
            <sz val="10"/>
            <rFont val="Tahoma"/>
            <family val="2"/>
          </rPr>
          <t>Adam Hadulla:</t>
        </r>
        <r>
          <rPr>
            <sz val="10"/>
            <rFont val="Tahoma"/>
            <family val="0"/>
          </rPr>
          <t xml:space="preserve">
no data available, max value taken into account</t>
        </r>
      </text>
    </comment>
    <comment ref="AV9" authorId="2">
      <text>
        <r>
          <rPr>
            <b/>
            <sz val="10"/>
            <rFont val="Tahoma"/>
            <family val="0"/>
          </rPr>
          <t>Adam Hadulla:</t>
        </r>
        <r>
          <rPr>
            <sz val="10"/>
            <rFont val="Tahoma"/>
            <family val="0"/>
          </rPr>
          <t xml:space="preserve">
no data available, max value taken into account</t>
        </r>
      </text>
    </comment>
    <comment ref="AW9" authorId="2">
      <text>
        <r>
          <rPr>
            <b/>
            <sz val="10"/>
            <rFont val="Tahoma"/>
            <family val="0"/>
          </rPr>
          <t>Adam Hadulla:</t>
        </r>
        <r>
          <rPr>
            <sz val="10"/>
            <rFont val="Tahoma"/>
            <family val="0"/>
          </rPr>
          <t xml:space="preserve">
no data available, max value taken into account</t>
        </r>
      </text>
    </comment>
    <comment ref="AV22" authorId="2">
      <text>
        <r>
          <rPr>
            <b/>
            <sz val="10"/>
            <rFont val="Tahoma"/>
            <family val="2"/>
          </rPr>
          <t>Adam Hadulla:</t>
        </r>
        <r>
          <rPr>
            <sz val="10"/>
            <rFont val="Tahoma"/>
            <family val="0"/>
          </rPr>
          <t xml:space="preserve">
no data available until April 2010, max value taken into account</t>
        </r>
      </text>
    </comment>
    <comment ref="AW22" authorId="2">
      <text>
        <r>
          <rPr>
            <b/>
            <sz val="10"/>
            <rFont val="Tahoma"/>
            <family val="2"/>
          </rPr>
          <t>Adam Hadulla:</t>
        </r>
        <r>
          <rPr>
            <sz val="10"/>
            <rFont val="Tahoma"/>
            <family val="0"/>
          </rPr>
          <t xml:space="preserve">
no data available until April 2010, max value taken into account</t>
        </r>
      </text>
    </comment>
  </commentList>
</comments>
</file>

<file path=xl/sharedStrings.xml><?xml version="1.0" encoding="utf-8"?>
<sst xmlns="http://schemas.openxmlformats.org/spreadsheetml/2006/main" count="189" uniqueCount="153">
  <si>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</si>
  <si>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</si>
  <si>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</si>
  <si>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</si>
  <si>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</si>
  <si>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</si>
  <si>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</si>
  <si>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</si>
  <si>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</si>
  <si>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</si>
  <si>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</si>
  <si>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</si>
  <si>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</si>
  <si>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</si>
  <si>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</si>
  <si>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</si>
  <si>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</si>
  <si>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</si>
  <si>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</si>
  <si>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</si>
  <si>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</si>
  <si>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</si>
  <si>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</si>
  <si>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</si>
  <si>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</si>
  <si>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</si>
  <si>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</si>
  <si>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</si>
  <si>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</si>
  <si>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</si>
  <si>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Electricity generation by project</t>
  </si>
  <si>
    <t>Heat generation by project</t>
  </si>
  <si>
    <t>CO2 emission factor of the grid</t>
  </si>
  <si>
    <t>CO2 emission factor of fuel used for captive power or heat</t>
  </si>
  <si>
    <t>Energy efficiency of heat plant</t>
  </si>
  <si>
    <t>P1</t>
  </si>
  <si>
    <t>P11</t>
  </si>
  <si>
    <t>P12</t>
  </si>
  <si>
    <t>P13</t>
  </si>
  <si>
    <t>P14</t>
  </si>
  <si>
    <t>P15</t>
  </si>
  <si>
    <t>P16</t>
  </si>
  <si>
    <t>Project emissions from energy use to capture and use methane</t>
  </si>
  <si>
    <t>Project emissions from methane destroyed</t>
  </si>
  <si>
    <t>Project emissions from uncombusted methane</t>
  </si>
  <si>
    <t>Additional electricity consumption by project</t>
  </si>
  <si>
    <t>Methane destroyed by flare</t>
  </si>
  <si>
    <t>Methane sent to flare</t>
  </si>
  <si>
    <t>Methane destroyed by power generation</t>
  </si>
  <si>
    <t>Methane sent to power plant</t>
  </si>
  <si>
    <t>Efficiency of methane destruction / oxidation in power plant</t>
  </si>
  <si>
    <t>Methane destroyed by heat generation</t>
  </si>
  <si>
    <t>Methane sent to boiler</t>
  </si>
  <si>
    <t>Efficiency of methane destruction / oxidation in heat plant</t>
  </si>
  <si>
    <t>Carbon emission factor for combusted non methane hydrocarbons (various)</t>
  </si>
  <si>
    <t>Concentration of methane in extracted gas</t>
  </si>
  <si>
    <t>Relative proportion of NMHC compared to methane</t>
  </si>
  <si>
    <t>NMHC concentration in coal mine gas</t>
  </si>
  <si>
    <r>
      <t>PE</t>
    </r>
    <r>
      <rPr>
        <b/>
        <vertAlign val="subscript"/>
        <sz val="11"/>
        <rFont val="Times New Roman"/>
        <family val="1"/>
      </rPr>
      <t>ME</t>
    </r>
  </si>
  <si>
    <r>
      <t>PE</t>
    </r>
    <r>
      <rPr>
        <b/>
        <vertAlign val="subscript"/>
        <sz val="11"/>
        <rFont val="Times New Roman"/>
        <family val="1"/>
      </rPr>
      <t>MD</t>
    </r>
  </si>
  <si>
    <r>
      <t>PE</t>
    </r>
    <r>
      <rPr>
        <b/>
        <vertAlign val="subscript"/>
        <sz val="11"/>
        <rFont val="Times New Roman"/>
        <family val="1"/>
      </rPr>
      <t>UM</t>
    </r>
  </si>
  <si>
    <r>
      <t>CONS</t>
    </r>
    <r>
      <rPr>
        <b/>
        <vertAlign val="subscript"/>
        <sz val="11"/>
        <rFont val="Times New Roman"/>
        <family val="1"/>
      </rPr>
      <t>ELEC,PJ</t>
    </r>
  </si>
  <si>
    <r>
      <t>CEF</t>
    </r>
    <r>
      <rPr>
        <b/>
        <vertAlign val="subscript"/>
        <sz val="11"/>
        <color indexed="8"/>
        <rFont val="Times New Roman"/>
        <family val="1"/>
      </rPr>
      <t>E</t>
    </r>
    <r>
      <rPr>
        <b/>
        <vertAlign val="subscript"/>
        <sz val="11"/>
        <rFont val="Times New Roman"/>
        <family val="1"/>
      </rPr>
      <t>LEC,PJ</t>
    </r>
  </si>
  <si>
    <r>
      <t>MD</t>
    </r>
    <r>
      <rPr>
        <b/>
        <vertAlign val="subscript"/>
        <sz val="11"/>
        <rFont val="Times New Roman"/>
        <family val="1"/>
      </rPr>
      <t>FL</t>
    </r>
  </si>
  <si>
    <r>
      <t>MM</t>
    </r>
    <r>
      <rPr>
        <b/>
        <vertAlign val="subscript"/>
        <sz val="11"/>
        <rFont val="Times New Roman"/>
        <family val="1"/>
      </rPr>
      <t>FL</t>
    </r>
  </si>
  <si>
    <r>
      <t>Eff</t>
    </r>
    <r>
      <rPr>
        <b/>
        <vertAlign val="subscript"/>
        <sz val="11"/>
        <rFont val="Times New Roman"/>
        <family val="1"/>
      </rPr>
      <t>FL</t>
    </r>
  </si>
  <si>
    <r>
      <t>MD</t>
    </r>
    <r>
      <rPr>
        <b/>
        <vertAlign val="subscript"/>
        <sz val="11"/>
        <rFont val="Times New Roman"/>
        <family val="1"/>
      </rPr>
      <t>ELEC</t>
    </r>
  </si>
  <si>
    <r>
      <t>MM</t>
    </r>
    <r>
      <rPr>
        <b/>
        <vertAlign val="subscript"/>
        <sz val="11"/>
        <rFont val="Times New Roman"/>
        <family val="1"/>
      </rPr>
      <t>ELEC</t>
    </r>
  </si>
  <si>
    <r>
      <t>Eff</t>
    </r>
    <r>
      <rPr>
        <b/>
        <vertAlign val="subscript"/>
        <sz val="11"/>
        <rFont val="Times New Roman"/>
        <family val="1"/>
      </rPr>
      <t>ELEC</t>
    </r>
  </si>
  <si>
    <r>
      <t>MD</t>
    </r>
    <r>
      <rPr>
        <b/>
        <vertAlign val="subscript"/>
        <sz val="11"/>
        <rFont val="Times New Roman"/>
        <family val="1"/>
      </rPr>
      <t>HEAT</t>
    </r>
  </si>
  <si>
    <r>
      <t>MM</t>
    </r>
    <r>
      <rPr>
        <b/>
        <vertAlign val="subscript"/>
        <sz val="11"/>
        <rFont val="Times New Roman"/>
        <family val="1"/>
      </rPr>
      <t>HEAT</t>
    </r>
  </si>
  <si>
    <r>
      <t>Eff</t>
    </r>
    <r>
      <rPr>
        <b/>
        <vertAlign val="subscript"/>
        <sz val="11"/>
        <rFont val="Times New Roman"/>
        <family val="1"/>
      </rPr>
      <t>HEAT</t>
    </r>
  </si>
  <si>
    <r>
      <t>CEF</t>
    </r>
    <r>
      <rPr>
        <b/>
        <vertAlign val="subscript"/>
        <sz val="11"/>
        <rFont val="Times New Roman"/>
        <family val="1"/>
      </rPr>
      <t>CH4</t>
    </r>
  </si>
  <si>
    <r>
      <t>CEF</t>
    </r>
    <r>
      <rPr>
        <b/>
        <vertAlign val="subscript"/>
        <sz val="11"/>
        <rFont val="Times New Roman"/>
        <family val="1"/>
      </rPr>
      <t>NMHC</t>
    </r>
  </si>
  <si>
    <r>
      <t>PC</t>
    </r>
    <r>
      <rPr>
        <b/>
        <vertAlign val="subscript"/>
        <sz val="10"/>
        <rFont val="Times New Roman"/>
        <family val="1"/>
      </rPr>
      <t>CH4</t>
    </r>
  </si>
  <si>
    <r>
      <t>PC</t>
    </r>
    <r>
      <rPr>
        <b/>
        <vertAlign val="subscript"/>
        <sz val="10"/>
        <rFont val="Times New Roman"/>
        <family val="1"/>
      </rPr>
      <t>NMHC</t>
    </r>
  </si>
  <si>
    <r>
      <t>GWP</t>
    </r>
    <r>
      <rPr>
        <b/>
        <vertAlign val="subscript"/>
        <sz val="11"/>
        <rFont val="Times New Roman"/>
        <family val="1"/>
      </rPr>
      <t>CH4</t>
    </r>
  </si>
  <si>
    <r>
      <t>EF</t>
    </r>
    <r>
      <rPr>
        <b/>
        <vertAlign val="subscript"/>
        <sz val="11"/>
        <rFont val="Times New Roman"/>
        <family val="1"/>
      </rPr>
      <t>elec</t>
    </r>
  </si>
  <si>
    <r>
      <t>EF</t>
    </r>
    <r>
      <rPr>
        <b/>
        <vertAlign val="subscript"/>
        <sz val="11"/>
        <rFont val="Times New Roman"/>
        <family val="1"/>
      </rPr>
      <t>CO2,Coal</t>
    </r>
  </si>
  <si>
    <r>
      <t>Eff</t>
    </r>
    <r>
      <rPr>
        <b/>
        <vertAlign val="subscript"/>
        <sz val="11"/>
        <color indexed="8"/>
        <rFont val="Times New Roman"/>
        <family val="1"/>
      </rPr>
      <t>hea</t>
    </r>
    <r>
      <rPr>
        <b/>
        <vertAlign val="subscript"/>
        <sz val="10"/>
        <rFont val="Arial"/>
        <family val="2"/>
      </rPr>
      <t>t</t>
    </r>
  </si>
  <si>
    <r>
      <t>Carbon emission factor of CONS</t>
    </r>
    <r>
      <rPr>
        <b/>
        <sz val="8"/>
        <rFont val="Arial"/>
        <family val="2"/>
      </rPr>
      <t>ELEC,PJ</t>
    </r>
  </si>
  <si>
    <t>t CO2eq</t>
  </si>
  <si>
    <t>MWh</t>
  </si>
  <si>
    <t>t CH4</t>
  </si>
  <si>
    <t>-</t>
  </si>
  <si>
    <t>t CO2 / MWh</t>
  </si>
  <si>
    <t>t CO2eq / 
t CH4</t>
  </si>
  <si>
    <t>tCO2/MWh</t>
  </si>
  <si>
    <t>ER</t>
  </si>
  <si>
    <t>Emission reductions</t>
  </si>
  <si>
    <t>methane concen-tration</t>
  </si>
  <si>
    <t>Total 2009</t>
  </si>
  <si>
    <t>Total Monitoring Period</t>
  </si>
  <si>
    <r>
      <t>kg CH</t>
    </r>
    <r>
      <rPr>
        <b/>
        <sz val="8"/>
        <rFont val="Arial"/>
        <family val="2"/>
      </rPr>
      <t>4</t>
    </r>
    <r>
      <rPr>
        <b/>
        <sz val="10"/>
        <rFont val="Arial"/>
        <family val="2"/>
      </rPr>
      <t>/mon</t>
    </r>
  </si>
  <si>
    <r>
      <t>t CO</t>
    </r>
    <r>
      <rPr>
        <b/>
        <sz val="8"/>
        <rFont val="Arial"/>
        <family val="2"/>
      </rPr>
      <t>2eq</t>
    </r>
  </si>
  <si>
    <r>
      <t>t CH</t>
    </r>
    <r>
      <rPr>
        <b/>
        <sz val="8"/>
        <rFont val="Arial"/>
        <family val="2"/>
      </rPr>
      <t>4</t>
    </r>
  </si>
  <si>
    <r>
      <t>t CH</t>
    </r>
    <r>
      <rPr>
        <b/>
        <sz val="8"/>
        <rFont val="Arial"/>
        <family val="2"/>
      </rPr>
      <t>4</t>
    </r>
  </si>
  <si>
    <t>methane amount destroyed by Flare 3</t>
  </si>
  <si>
    <t>methane amount destroyed by Flare 4</t>
  </si>
  <si>
    <t>methane amount sent to Flare 3</t>
  </si>
  <si>
    <t>methane amount sent to Flare 4</t>
  </si>
  <si>
    <t xml:space="preserve">Flare combustion efficiency, determined by the flame temperature and opera-tion hours </t>
  </si>
  <si>
    <t>n.a.</t>
  </si>
  <si>
    <r>
      <t>t CO</t>
    </r>
    <r>
      <rPr>
        <b/>
        <sz val="8"/>
        <rFont val="Arial"/>
        <family val="2"/>
      </rPr>
      <t>2eq</t>
    </r>
    <r>
      <rPr>
        <b/>
        <sz val="10"/>
        <rFont val="Arial"/>
        <family val="2"/>
      </rPr>
      <t xml:space="preserve"> / 
t NMHC</t>
    </r>
  </si>
  <si>
    <r>
      <t>t CO</t>
    </r>
    <r>
      <rPr>
        <b/>
        <sz val="8"/>
        <rFont val="Arial"/>
        <family val="2"/>
      </rPr>
      <t>2eq</t>
    </r>
    <r>
      <rPr>
        <b/>
        <sz val="10"/>
        <rFont val="Arial"/>
        <family val="2"/>
      </rPr>
      <t xml:space="preserve"> / 
t CH</t>
    </r>
    <r>
      <rPr>
        <b/>
        <sz val="8"/>
        <rFont val="Arial"/>
        <family val="2"/>
      </rPr>
      <t>4</t>
    </r>
  </si>
  <si>
    <t>colour codes</t>
  </si>
  <si>
    <t>green</t>
  </si>
  <si>
    <t>yellow</t>
  </si>
  <si>
    <t>input data</t>
  </si>
  <si>
    <t>data no used, project parts not installed yet</t>
  </si>
  <si>
    <t>white</t>
  </si>
  <si>
    <t>calculated data</t>
  </si>
  <si>
    <t xml:space="preserve">Project emissions </t>
  </si>
  <si>
    <t xml:space="preserve">Baseline emissions </t>
  </si>
  <si>
    <t>Baseline emissions from release of methane into the atmosphere that is avoided by the project activity</t>
  </si>
  <si>
    <t xml:space="preserve">Baseline emissions from the production of power, heat or supply to gas grid replaced by the project activity </t>
  </si>
  <si>
    <t>CMM captured in the project activity</t>
  </si>
  <si>
    <t>HEAT</t>
  </si>
  <si>
    <t>GEN</t>
  </si>
  <si>
    <r>
      <t>CMM</t>
    </r>
    <r>
      <rPr>
        <b/>
        <vertAlign val="subscript"/>
        <sz val="11"/>
        <color indexed="8"/>
        <rFont val="Times New Roman"/>
        <family val="1"/>
      </rPr>
      <t>PJ</t>
    </r>
  </si>
  <si>
    <r>
      <t>BE</t>
    </r>
    <r>
      <rPr>
        <b/>
        <vertAlign val="subscript"/>
        <sz val="11"/>
        <rFont val="Times New Roman"/>
        <family val="1"/>
      </rPr>
      <t>Use</t>
    </r>
  </si>
  <si>
    <r>
      <t>BE</t>
    </r>
    <r>
      <rPr>
        <b/>
        <vertAlign val="subscript"/>
        <sz val="11"/>
        <rFont val="Times New Roman"/>
        <family val="1"/>
      </rPr>
      <t>MR</t>
    </r>
  </si>
  <si>
    <t>BE</t>
  </si>
  <si>
    <t>PE</t>
  </si>
  <si>
    <t>data sources:</t>
  </si>
  <si>
    <t>operation hours of compressor from flare 3</t>
  </si>
  <si>
    <t>h</t>
  </si>
  <si>
    <t>operation hours of compressor from flare 4</t>
  </si>
  <si>
    <r>
      <t>h</t>
    </r>
    <r>
      <rPr>
        <b/>
        <vertAlign val="subscript"/>
        <sz val="11"/>
        <color indexed="8"/>
        <rFont val="Times New Roman"/>
        <family val="1"/>
      </rPr>
      <t>3, M</t>
    </r>
  </si>
  <si>
    <r>
      <t>h</t>
    </r>
    <r>
      <rPr>
        <b/>
        <vertAlign val="subscript"/>
        <sz val="11"/>
        <color indexed="8"/>
        <rFont val="Times New Roman"/>
        <family val="1"/>
      </rPr>
      <t>4, M</t>
    </r>
  </si>
  <si>
    <r>
      <t>h</t>
    </r>
    <r>
      <rPr>
        <b/>
        <vertAlign val="subscript"/>
        <sz val="11"/>
        <color indexed="8"/>
        <rFont val="Times New Roman"/>
        <family val="1"/>
      </rPr>
      <t>3, total</t>
    </r>
  </si>
  <si>
    <t>operation hours of flare 3 (operation + standby)</t>
  </si>
  <si>
    <r>
      <t>h</t>
    </r>
    <r>
      <rPr>
        <b/>
        <vertAlign val="subscript"/>
        <sz val="11"/>
        <color indexed="8"/>
        <rFont val="Times New Roman"/>
        <family val="1"/>
      </rPr>
      <t>4, total</t>
    </r>
  </si>
  <si>
    <t>operation hours of flare 4 (operation + standby)</t>
  </si>
  <si>
    <t>motor capacity</t>
  </si>
  <si>
    <r>
      <t>P</t>
    </r>
    <r>
      <rPr>
        <b/>
        <vertAlign val="subscript"/>
        <sz val="11"/>
        <color indexed="8"/>
        <rFont val="Times New Roman"/>
        <family val="1"/>
      </rPr>
      <t>M</t>
    </r>
  </si>
  <si>
    <t>KW</t>
  </si>
  <si>
    <t>total capacity of the flare unit</t>
  </si>
  <si>
    <r>
      <t>P</t>
    </r>
    <r>
      <rPr>
        <vertAlign val="subscript"/>
        <sz val="10"/>
        <rFont val="Arial"/>
        <family val="2"/>
      </rPr>
      <t>total</t>
    </r>
  </si>
  <si>
    <t>effective load of electric motor</t>
  </si>
  <si>
    <r>
      <t>E</t>
    </r>
    <r>
      <rPr>
        <vertAlign val="subscript"/>
        <sz val="10"/>
        <rFont val="Arial"/>
        <family val="2"/>
      </rPr>
      <t>ffM</t>
    </r>
  </si>
  <si>
    <t>effective load of the flare unit during standby</t>
  </si>
  <si>
    <r>
      <t>E</t>
    </r>
    <r>
      <rPr>
        <vertAlign val="subscript"/>
        <sz val="10"/>
        <rFont val="Arial"/>
        <family val="2"/>
      </rPr>
      <t>ffSB</t>
    </r>
  </si>
  <si>
    <t>Additional electricity consumption by flare 3</t>
  </si>
  <si>
    <t>Additional electricity consumption by flare 4</t>
  </si>
  <si>
    <t>kWh</t>
  </si>
  <si>
    <t>Total 2010</t>
  </si>
  <si>
    <t>Emission Reduction -  from 04/11/2009 to 31/10/2010</t>
  </si>
  <si>
    <t>Values put into MR</t>
  </si>
  <si>
    <t>blue</t>
  </si>
  <si>
    <t>KD-F3_Data_2009-11-04 to 2010-10-31_V2b.xls</t>
  </si>
  <si>
    <t>KD-F4_Data_2009-11-04 to 2010-10-31_V2b.xls</t>
  </si>
  <si>
    <t>KD-B1+B2_Data Gas and Steam_2010-01-28 to 2010-10-31_V2b.xls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</si>
</sst>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mmm\-yyyy"/>
    <numFmt numFmtId="177" formatCode="[$-809]dd\ mmmm\ yyyy"/>
    <numFmt numFmtId="178" formatCode="d\.m\.yy\ h:mm;@"/>
    <numFmt numFmtId="179" formatCode="0.00000"/>
    <numFmt numFmtId="180" formatCode="0.0000"/>
    <numFmt numFmtId="181" formatCode="0.000"/>
    <numFmt numFmtId="182" formatCode="0.0"/>
    <numFmt numFmtId="183" formatCode="d/m/yy\ h:mm;@"/>
    <numFmt numFmtId="184" formatCode="yyyy\-mm\-dd;@"/>
    <numFmt numFmtId="185" formatCode="0.0%"/>
    <numFmt numFmtId="186" formatCode="0.000%"/>
    <numFmt numFmtId="187" formatCode="0.0000000"/>
    <numFmt numFmtId="188" formatCode="0.000000"/>
    <numFmt numFmtId="189" formatCode="mmmm\-yyyy"/>
    <numFmt numFmtId="190" formatCode="#,##0.0"/>
    <numFmt numFmtId="191" formatCode="#,##0.000"/>
    <numFmt numFmtId="192" formatCode="mmm\ yyyy"/>
  </numFmts>
  <fonts count="19">
    <font>
      <sz val="10"/>
      <name val="Arial"/>
      <family val="0"/>
    </font>
    <font>
      <b/>
      <sz val="14"/>
      <name val="Arial"/>
      <family val="2"/>
    </font>
    <font>
      <b/>
      <sz val="10"/>
      <name val="Arial"/>
      <family val="2"/>
    </font>
    <font>
      <b/>
      <sz val="11"/>
      <color indexed="8"/>
      <name val="Times New Roman"/>
      <family val="1"/>
    </font>
    <font>
      <b/>
      <vertAlign val="subscript"/>
      <sz val="11"/>
      <color indexed="8"/>
      <name val="Times New Roman"/>
      <family val="1"/>
    </font>
    <font>
      <b/>
      <vertAlign val="subscript"/>
      <sz val="11"/>
      <name val="Times New Roman"/>
      <family val="1"/>
    </font>
    <font>
      <b/>
      <vertAlign val="subscript"/>
      <sz val="10"/>
      <name val="Times New Roman"/>
      <family val="1"/>
    </font>
    <font>
      <b/>
      <vertAlign val="subscript"/>
      <sz val="10"/>
      <name val="Arial"/>
      <family val="2"/>
    </font>
    <font>
      <b/>
      <sz val="8"/>
      <name val="Arial"/>
      <family val="2"/>
    </font>
    <font>
      <sz val="8"/>
      <name val="Tahoma"/>
      <family val="0"/>
    </font>
    <font>
      <b/>
      <sz val="8"/>
      <name val="Tahoma"/>
      <family val="0"/>
    </font>
    <font>
      <sz val="6"/>
      <name val="Tahoma"/>
      <family val="2"/>
    </font>
    <font>
      <u val="single"/>
      <sz val="10"/>
      <color indexed="12"/>
      <name val="Arial"/>
      <family val="0"/>
    </font>
    <font>
      <u val="single"/>
      <sz val="10"/>
      <color indexed="36"/>
      <name val="Arial"/>
      <family val="0"/>
    </font>
    <font>
      <sz val="10"/>
      <name val="Tahoma"/>
      <family val="0"/>
    </font>
    <font>
      <b/>
      <sz val="10"/>
      <name val="Tahoma"/>
      <family val="0"/>
    </font>
    <font>
      <sz val="7"/>
      <name val="Tahoma"/>
      <family val="2"/>
    </font>
    <font>
      <vertAlign val="subscript"/>
      <sz val="10"/>
      <name val="Arial"/>
      <family val="2"/>
    </font>
    <font>
      <sz val="10"/>
      <color indexed="8"/>
      <name val="Arial"/>
      <family val="0"/>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s>
  <borders count="9">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9">
    <xf numFmtId="0" fontId="0" fillId="0" borderId="0" xfId="0" applyAlignment="1">
      <alignment/>
    </xf>
    <xf numFmtId="0" fontId="1" fillId="0" borderId="0" xfId="0" applyFont="1" applyAlignment="1">
      <alignment/>
    </xf>
    <xf numFmtId="0" fontId="2" fillId="0" borderId="0" xfId="0" applyFont="1" applyBorder="1" applyAlignment="1">
      <alignment/>
    </xf>
    <xf numFmtId="0" fontId="0" fillId="0" borderId="1" xfId="0" applyBorder="1" applyAlignment="1">
      <alignment/>
    </xf>
    <xf numFmtId="0" fontId="2" fillId="0" borderId="0" xfId="0" applyFont="1" applyBorder="1" applyAlignment="1">
      <alignment wrapText="1"/>
    </xf>
    <xf numFmtId="184" fontId="0" fillId="0" borderId="0" xfId="0" applyNumberFormat="1" applyAlignment="1">
      <alignment/>
    </xf>
    <xf numFmtId="0" fontId="0" fillId="0" borderId="0" xfId="0" applyAlignment="1">
      <alignment horizontal="righ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0" fontId="2" fillId="0" borderId="0" xfId="0" applyFont="1" applyAlignment="1">
      <alignment wrapText="1"/>
    </xf>
    <xf numFmtId="0" fontId="2" fillId="0" borderId="2" xfId="0" applyFont="1" applyBorder="1" applyAlignment="1">
      <alignment horizontal="right" wrapText="1"/>
    </xf>
    <xf numFmtId="2" fontId="0" fillId="0" borderId="0" xfId="0" applyNumberFormat="1" applyAlignment="1">
      <alignment/>
    </xf>
    <xf numFmtId="9" fontId="0" fillId="0" borderId="0" xfId="19" applyAlignment="1">
      <alignment/>
    </xf>
    <xf numFmtId="0" fontId="0" fillId="0" borderId="0" xfId="0" applyFill="1" applyAlignment="1">
      <alignment/>
    </xf>
    <xf numFmtId="0" fontId="0" fillId="0" borderId="0" xfId="0" applyNumberFormat="1" applyFill="1" applyAlignment="1">
      <alignment/>
    </xf>
    <xf numFmtId="185" fontId="0" fillId="0" borderId="0" xfId="0" applyNumberFormat="1" applyFill="1" applyAlignment="1">
      <alignment/>
    </xf>
    <xf numFmtId="0" fontId="0" fillId="0" borderId="0" xfId="0" applyFill="1" applyAlignment="1" quotePrefix="1">
      <alignment horizontal="center"/>
    </xf>
    <xf numFmtId="185" fontId="0" fillId="0" borderId="0" xfId="0" applyNumberFormat="1" applyFill="1" applyAlignment="1" quotePrefix="1">
      <alignment horizontal="center"/>
    </xf>
    <xf numFmtId="0" fontId="3" fillId="0" borderId="1" xfId="0" applyFont="1" applyBorder="1" applyAlignment="1">
      <alignment/>
    </xf>
    <xf numFmtId="0" fontId="3" fillId="0" borderId="1" xfId="0" applyFont="1" applyBorder="1" applyAlignment="1">
      <alignment vertical="top" wrapText="1"/>
    </xf>
    <xf numFmtId="0" fontId="2" fillId="0" borderId="2" xfId="0" applyFont="1" applyBorder="1" applyAlignment="1">
      <alignment horizontal="right"/>
    </xf>
    <xf numFmtId="189" fontId="0" fillId="0" borderId="0" xfId="0" applyNumberFormat="1" applyAlignment="1">
      <alignment/>
    </xf>
    <xf numFmtId="3" fontId="2" fillId="0" borderId="2" xfId="0" applyNumberFormat="1" applyFont="1" applyBorder="1" applyAlignment="1">
      <alignment/>
    </xf>
    <xf numFmtId="1" fontId="2" fillId="0" borderId="2" xfId="0" applyNumberFormat="1" applyFont="1" applyBorder="1" applyAlignment="1">
      <alignment/>
    </xf>
    <xf numFmtId="1" fontId="0" fillId="0" borderId="2" xfId="0" applyNumberFormat="1" applyBorder="1" applyAlignment="1">
      <alignment/>
    </xf>
    <xf numFmtId="0" fontId="0" fillId="0" borderId="2" xfId="0" applyBorder="1" applyAlignment="1">
      <alignment/>
    </xf>
    <xf numFmtId="0" fontId="0" fillId="0" borderId="2" xfId="0" applyFill="1" applyBorder="1" applyAlignment="1">
      <alignment/>
    </xf>
    <xf numFmtId="189" fontId="2" fillId="0" borderId="3" xfId="0" applyNumberFormat="1" applyFont="1" applyBorder="1" applyAlignment="1">
      <alignment horizontal="right"/>
    </xf>
    <xf numFmtId="3" fontId="2" fillId="0" borderId="3" xfId="0" applyNumberFormat="1" applyFont="1" applyBorder="1" applyAlignment="1">
      <alignment/>
    </xf>
    <xf numFmtId="1" fontId="2" fillId="0" borderId="3" xfId="0" applyNumberFormat="1" applyFont="1" applyBorder="1" applyAlignment="1">
      <alignment/>
    </xf>
    <xf numFmtId="3" fontId="0" fillId="2" borderId="0" xfId="0" applyNumberFormat="1" applyFill="1" applyAlignment="1">
      <alignment/>
    </xf>
    <xf numFmtId="3" fontId="0" fillId="2" borderId="2" xfId="0" applyNumberFormat="1" applyFill="1" applyBorder="1" applyAlignment="1">
      <alignment/>
    </xf>
    <xf numFmtId="3" fontId="0" fillId="0" borderId="0" xfId="0" applyNumberFormat="1" applyFill="1" applyAlignment="1">
      <alignment/>
    </xf>
    <xf numFmtId="3" fontId="0" fillId="0" borderId="2" xfId="0" applyNumberFormat="1" applyFill="1" applyBorder="1" applyAlignment="1">
      <alignment/>
    </xf>
    <xf numFmtId="0" fontId="0" fillId="3" borderId="0" xfId="0" applyFill="1" applyAlignment="1">
      <alignment/>
    </xf>
    <xf numFmtId="0" fontId="0" fillId="3" borderId="2" xfId="0" applyFill="1" applyBorder="1" applyAlignment="1">
      <alignment/>
    </xf>
    <xf numFmtId="1" fontId="2" fillId="3" borderId="2" xfId="0" applyNumberFormat="1" applyFont="1" applyFill="1" applyBorder="1" applyAlignment="1">
      <alignment/>
    </xf>
    <xf numFmtId="1" fontId="2" fillId="3" borderId="3" xfId="0" applyNumberFormat="1" applyFont="1" applyFill="1" applyBorder="1" applyAlignment="1">
      <alignment/>
    </xf>
    <xf numFmtId="0" fontId="0" fillId="0" borderId="0" xfId="0" applyAlignment="1">
      <alignment horizontal="right" vertical="center"/>
    </xf>
    <xf numFmtId="184" fontId="2" fillId="0" borderId="3" xfId="0" applyNumberFormat="1" applyFont="1" applyBorder="1" applyAlignment="1">
      <alignment horizontal="right" vertical="center" wrapText="1"/>
    </xf>
    <xf numFmtId="3" fontId="2" fillId="0" borderId="3" xfId="0" applyNumberFormat="1" applyFont="1" applyBorder="1" applyAlignment="1">
      <alignment horizontal="right" vertical="center"/>
    </xf>
    <xf numFmtId="0" fontId="0" fillId="0" borderId="4" xfId="0" applyBorder="1" applyAlignment="1">
      <alignment/>
    </xf>
    <xf numFmtId="0" fontId="0" fillId="0" borderId="5" xfId="0" applyBorder="1" applyAlignment="1">
      <alignment/>
    </xf>
    <xf numFmtId="0" fontId="2" fillId="0" borderId="4" xfId="0" applyFont="1" applyBorder="1" applyAlignment="1">
      <alignment wrapText="1"/>
    </xf>
    <xf numFmtId="0" fontId="2" fillId="0" borderId="6" xfId="0" applyFont="1" applyBorder="1" applyAlignment="1">
      <alignment horizontal="right"/>
    </xf>
    <xf numFmtId="0" fontId="0" fillId="2" borderId="4" xfId="0" applyFont="1"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3" fillId="0" borderId="1" xfId="0" applyFont="1" applyFill="1" applyBorder="1" applyAlignment="1">
      <alignment/>
    </xf>
    <xf numFmtId="0" fontId="2" fillId="0" borderId="0" xfId="0" applyFont="1" applyFill="1" applyAlignment="1">
      <alignment wrapText="1"/>
    </xf>
    <xf numFmtId="0" fontId="2" fillId="0" borderId="2" xfId="0" applyFont="1" applyFill="1" applyBorder="1" applyAlignment="1">
      <alignment horizontal="right" wrapText="1"/>
    </xf>
    <xf numFmtId="1" fontId="0" fillId="0" borderId="0" xfId="0" applyNumberFormat="1" applyFill="1" applyAlignment="1">
      <alignment/>
    </xf>
    <xf numFmtId="1" fontId="0" fillId="0" borderId="2" xfId="0" applyNumberFormat="1" applyFill="1" applyBorder="1" applyAlignment="1">
      <alignment/>
    </xf>
    <xf numFmtId="1" fontId="2" fillId="0" borderId="2" xfId="0" applyNumberFormat="1" applyFont="1" applyFill="1" applyBorder="1" applyAlignment="1">
      <alignment/>
    </xf>
    <xf numFmtId="3" fontId="2" fillId="0" borderId="3" xfId="0" applyNumberFormat="1" applyFont="1" applyFill="1" applyBorder="1" applyAlignment="1">
      <alignment horizontal="right" vertical="center"/>
    </xf>
    <xf numFmtId="0" fontId="3" fillId="0" borderId="1" xfId="0" applyFont="1" applyFill="1" applyBorder="1" applyAlignment="1">
      <alignment vertical="top" wrapText="1"/>
    </xf>
    <xf numFmtId="185" fontId="0" fillId="0" borderId="2" xfId="0" applyNumberFormat="1" applyFill="1" applyBorder="1" applyAlignment="1" quotePrefix="1">
      <alignment horizontal="center"/>
    </xf>
    <xf numFmtId="185" fontId="0" fillId="0" borderId="0" xfId="0" applyNumberFormat="1" applyFill="1" applyAlignment="1" quotePrefix="1">
      <alignment horizontal="right"/>
    </xf>
    <xf numFmtId="185" fontId="0" fillId="0" borderId="2" xfId="0" applyNumberFormat="1" applyFill="1" applyBorder="1" applyAlignment="1" quotePrefix="1">
      <alignment horizontal="right"/>
    </xf>
    <xf numFmtId="0" fontId="0" fillId="0" borderId="0" xfId="0" applyFill="1" applyAlignment="1" quotePrefix="1">
      <alignment horizontal="right"/>
    </xf>
    <xf numFmtId="181" fontId="0" fillId="0" borderId="0" xfId="0" applyNumberFormat="1" applyFill="1" applyAlignment="1" quotePrefix="1">
      <alignment horizontal="right"/>
    </xf>
    <xf numFmtId="181" fontId="2" fillId="0" borderId="2" xfId="0" applyNumberFormat="1" applyFont="1" applyBorder="1" applyAlignment="1">
      <alignment/>
    </xf>
    <xf numFmtId="181" fontId="2" fillId="0" borderId="3" xfId="0" applyNumberFormat="1" applyFont="1" applyBorder="1" applyAlignment="1">
      <alignment/>
    </xf>
    <xf numFmtId="3" fontId="2" fillId="3" borderId="3" xfId="0" applyNumberFormat="1" applyFont="1" applyFill="1" applyBorder="1" applyAlignment="1">
      <alignment horizontal="right" vertical="center"/>
    </xf>
    <xf numFmtId="185" fontId="0" fillId="3" borderId="0" xfId="0" applyNumberFormat="1" applyFill="1" applyAlignment="1" quotePrefix="1">
      <alignment horizontal="right"/>
    </xf>
    <xf numFmtId="185" fontId="0" fillId="3" borderId="2" xfId="0" applyNumberFormat="1" applyFill="1" applyBorder="1" applyAlignment="1" quotePrefix="1">
      <alignment horizontal="right"/>
    </xf>
    <xf numFmtId="185" fontId="0" fillId="3" borderId="3" xfId="0" applyNumberFormat="1" applyFill="1" applyBorder="1" applyAlignment="1" quotePrefix="1">
      <alignment horizontal="right"/>
    </xf>
    <xf numFmtId="185" fontId="2" fillId="0" borderId="3" xfId="19" applyNumberFormat="1" applyFont="1" applyFill="1" applyBorder="1" applyAlignment="1">
      <alignment/>
    </xf>
    <xf numFmtId="185" fontId="2" fillId="0" borderId="3" xfId="19" applyNumberFormat="1" applyFont="1" applyFill="1" applyBorder="1" applyAlignment="1">
      <alignment horizontal="right" vertical="center"/>
    </xf>
    <xf numFmtId="185" fontId="2" fillId="3" borderId="3" xfId="19" applyNumberFormat="1" applyFont="1" applyFill="1" applyBorder="1" applyAlignment="1">
      <alignment horizontal="right" vertical="center"/>
    </xf>
    <xf numFmtId="0" fontId="0" fillId="0" borderId="2" xfId="0" applyNumberFormat="1" applyFill="1" applyBorder="1" applyAlignment="1">
      <alignment/>
    </xf>
    <xf numFmtId="0" fontId="2" fillId="0" borderId="2" xfId="0" applyNumberFormat="1" applyFont="1" applyFill="1" applyBorder="1" applyAlignment="1">
      <alignment/>
    </xf>
    <xf numFmtId="0" fontId="2" fillId="0" borderId="3" xfId="0" applyNumberFormat="1" applyFont="1" applyFill="1" applyBorder="1" applyAlignment="1">
      <alignment/>
    </xf>
    <xf numFmtId="2" fontId="2" fillId="0" borderId="3" xfId="19" applyNumberFormat="1" applyFont="1" applyFill="1" applyBorder="1" applyAlignment="1">
      <alignment horizontal="right" vertical="center"/>
    </xf>
    <xf numFmtId="185" fontId="0" fillId="0" borderId="0" xfId="19" applyNumberFormat="1" applyAlignment="1">
      <alignment/>
    </xf>
    <xf numFmtId="185" fontId="0" fillId="0" borderId="2" xfId="19" applyNumberFormat="1" applyBorder="1" applyAlignment="1">
      <alignment/>
    </xf>
    <xf numFmtId="0" fontId="0" fillId="0" borderId="0" xfId="0" applyFill="1" applyAlignment="1">
      <alignment horizontal="right"/>
    </xf>
    <xf numFmtId="0" fontId="0" fillId="0" borderId="2" xfId="0" applyFill="1" applyBorder="1" applyAlignment="1">
      <alignment horizontal="right"/>
    </xf>
    <xf numFmtId="0" fontId="2" fillId="0" borderId="2" xfId="0" applyFont="1" applyFill="1" applyBorder="1" applyAlignment="1">
      <alignment horizontal="right"/>
    </xf>
    <xf numFmtId="0" fontId="0" fillId="0" borderId="0" xfId="0" applyNumberFormat="1" applyFont="1" applyFill="1" applyAlignment="1">
      <alignment/>
    </xf>
    <xf numFmtId="0" fontId="0" fillId="0" borderId="2" xfId="0" applyNumberFormat="1" applyFont="1" applyFill="1" applyBorder="1" applyAlignment="1">
      <alignment/>
    </xf>
    <xf numFmtId="0" fontId="2" fillId="0" borderId="3" xfId="0" applyNumberFormat="1" applyFont="1" applyFill="1" applyBorder="1" applyAlignment="1">
      <alignment/>
    </xf>
    <xf numFmtId="0" fontId="0" fillId="0" borderId="0" xfId="0" applyNumberFormat="1" applyFont="1" applyFill="1" applyAlignment="1">
      <alignment/>
    </xf>
    <xf numFmtId="3" fontId="0" fillId="0" borderId="0" xfId="0" applyNumberFormat="1" applyFont="1" applyAlignment="1">
      <alignment/>
    </xf>
    <xf numFmtId="3" fontId="0" fillId="0" borderId="2" xfId="0" applyNumberFormat="1" applyFont="1" applyBorder="1" applyAlignment="1">
      <alignment/>
    </xf>
    <xf numFmtId="182" fontId="0" fillId="2" borderId="4" xfId="0" applyNumberFormat="1" applyFont="1" applyFill="1" applyBorder="1" applyAlignment="1">
      <alignment/>
    </xf>
    <xf numFmtId="190" fontId="2" fillId="0" borderId="7" xfId="0" applyNumberFormat="1" applyFont="1" applyBorder="1" applyAlignment="1">
      <alignment/>
    </xf>
    <xf numFmtId="3" fontId="2" fillId="0" borderId="0" xfId="0" applyNumberFormat="1" applyFont="1" applyAlignment="1">
      <alignment/>
    </xf>
    <xf numFmtId="0" fontId="0" fillId="2" borderId="0" xfId="0" applyFill="1" applyAlignment="1">
      <alignment/>
    </xf>
    <xf numFmtId="0" fontId="2" fillId="0" borderId="1" xfId="0" applyFont="1" applyBorder="1" applyAlignment="1">
      <alignment/>
    </xf>
    <xf numFmtId="3" fontId="0" fillId="0" borderId="0" xfId="0" applyNumberFormat="1" applyFont="1" applyFill="1" applyAlignment="1">
      <alignment/>
    </xf>
    <xf numFmtId="3" fontId="0" fillId="0" borderId="2" xfId="0" applyNumberFormat="1" applyFont="1" applyFill="1" applyBorder="1" applyAlignment="1">
      <alignment/>
    </xf>
    <xf numFmtId="191" fontId="2" fillId="0" borderId="3" xfId="0" applyNumberFormat="1" applyFont="1" applyBorder="1" applyAlignment="1">
      <alignment horizontal="right" vertical="center"/>
    </xf>
    <xf numFmtId="3" fontId="0" fillId="0" borderId="8" xfId="0" applyNumberFormat="1" applyFont="1" applyBorder="1" applyAlignment="1">
      <alignment/>
    </xf>
    <xf numFmtId="9" fontId="0" fillId="0" borderId="0" xfId="0" applyNumberFormat="1" applyFill="1" applyAlignment="1">
      <alignment/>
    </xf>
    <xf numFmtId="9" fontId="2" fillId="0" borderId="2" xfId="0" applyNumberFormat="1" applyFont="1" applyFill="1" applyBorder="1" applyAlignment="1">
      <alignment/>
    </xf>
    <xf numFmtId="9" fontId="0" fillId="0" borderId="2" xfId="0" applyNumberFormat="1" applyFill="1" applyBorder="1" applyAlignment="1">
      <alignment/>
    </xf>
    <xf numFmtId="0" fontId="2" fillId="0" borderId="3" xfId="0" applyNumberFormat="1" applyFont="1" applyFill="1" applyBorder="1" applyAlignment="1">
      <alignment vertical="center"/>
    </xf>
    <xf numFmtId="0" fontId="2" fillId="0" borderId="2" xfId="0" applyFont="1" applyFill="1" applyBorder="1" applyAlignment="1">
      <alignment horizontal="right" vertical="center"/>
    </xf>
    <xf numFmtId="9" fontId="2" fillId="0" borderId="2" xfId="0" applyNumberFormat="1" applyFont="1" applyFill="1" applyBorder="1" applyAlignment="1">
      <alignment vertical="center"/>
    </xf>
    <xf numFmtId="185" fontId="2" fillId="0" borderId="3" xfId="19" applyNumberFormat="1" applyFont="1" applyFill="1" applyBorder="1" applyAlignment="1">
      <alignment horizontal="right"/>
    </xf>
    <xf numFmtId="1" fontId="2" fillId="4" borderId="1" xfId="0" applyNumberFormat="1" applyFont="1" applyFill="1" applyBorder="1" applyAlignment="1">
      <alignment/>
    </xf>
    <xf numFmtId="1" fontId="0" fillId="4" borderId="0" xfId="0" applyNumberFormat="1" applyFill="1" applyAlignment="1">
      <alignment/>
    </xf>
    <xf numFmtId="181" fontId="0" fillId="0" borderId="0" xfId="0" applyNumberFormat="1" applyFill="1" applyAlignment="1">
      <alignment/>
    </xf>
    <xf numFmtId="3" fontId="0" fillId="0" borderId="0" xfId="0" applyNumberFormat="1" applyAlignment="1">
      <alignment/>
    </xf>
    <xf numFmtId="3" fontId="3" fillId="0" borderId="0" xfId="0" applyNumberFormat="1" applyFont="1" applyAlignment="1">
      <alignment/>
    </xf>
    <xf numFmtId="3" fontId="2" fillId="0" borderId="2" xfId="0" applyNumberFormat="1" applyFont="1" applyBorder="1" applyAlignment="1">
      <alignment horizontal="right" wrapText="1"/>
    </xf>
    <xf numFmtId="3" fontId="2" fillId="0" borderId="3" xfId="0" applyNumberFormat="1" applyFont="1" applyFill="1" applyBorder="1" applyAlignment="1">
      <alignment/>
    </xf>
    <xf numFmtId="1" fontId="2" fillId="5" borderId="2" xfId="0" applyNumberFormat="1" applyFont="1" applyFill="1" applyBorder="1" applyAlignment="1">
      <alignment/>
    </xf>
    <xf numFmtId="3" fontId="2" fillId="5" borderId="3" xfId="0" applyNumberFormat="1" applyFont="1" applyFill="1" applyBorder="1" applyAlignment="1">
      <alignment/>
    </xf>
    <xf numFmtId="3" fontId="2" fillId="5" borderId="3" xfId="0" applyNumberFormat="1" applyFont="1" applyFill="1" applyBorder="1" applyAlignment="1">
      <alignment horizontal="right" vertical="center"/>
    </xf>
    <xf numFmtId="3" fontId="2" fillId="5" borderId="0" xfId="0" applyNumberFormat="1" applyFont="1" applyFill="1" applyAlignment="1">
      <alignment/>
    </xf>
    <xf numFmtId="3" fontId="2" fillId="5" borderId="2" xfId="0" applyNumberFormat="1" applyFont="1" applyFill="1" applyBorder="1" applyAlignment="1">
      <alignment/>
    </xf>
    <xf numFmtId="0" fontId="0" fillId="5" borderId="0" xfId="0" applyFill="1" applyAlignment="1">
      <alignment/>
    </xf>
    <xf numFmtId="181" fontId="2" fillId="0" borderId="3" xfId="0" applyNumberFormat="1" applyFont="1" applyFill="1" applyBorder="1" applyAlignment="1">
      <alignment horizontal="right"/>
    </xf>
    <xf numFmtId="3" fontId="0" fillId="0" borderId="0" xfId="0" applyNumberFormat="1" applyFill="1" applyBorder="1" applyAlignment="1">
      <alignment/>
    </xf>
    <xf numFmtId="3" fontId="0" fillId="0" borderId="0" xfId="0" applyNumberFormat="1" applyFont="1" applyBorder="1" applyAlignment="1">
      <alignment/>
    </xf>
    <xf numFmtId="1" fontId="0" fillId="0" borderId="0" xfId="0" applyNumberFormat="1" applyBorder="1" applyAlignment="1">
      <alignment/>
    </xf>
    <xf numFmtId="185" fontId="0" fillId="0" borderId="0" xfId="0" applyNumberFormat="1" applyFill="1" applyBorder="1" applyAlignment="1" quotePrefix="1">
      <alignment horizontal="right"/>
    </xf>
    <xf numFmtId="181" fontId="0" fillId="0" borderId="2" xfId="0" applyNumberFormat="1" applyFill="1" applyBorder="1" applyAlignment="1" quotePrefix="1">
      <alignment horizontal="right"/>
    </xf>
    <xf numFmtId="0" fontId="2" fillId="0" borderId="3" xfId="0" applyFont="1" applyFill="1" applyBorder="1" applyAlignment="1">
      <alignment horizontal="right"/>
    </xf>
    <xf numFmtId="1" fontId="0" fillId="0" borderId="0" xfId="0" applyNumberFormat="1" applyFill="1" applyBorder="1" applyAlignment="1">
      <alignment/>
    </xf>
    <xf numFmtId="190" fontId="0" fillId="0" borderId="0" xfId="0" applyNumberFormat="1" applyFill="1" applyBorder="1" applyAlignment="1">
      <alignment/>
    </xf>
    <xf numFmtId="190" fontId="18" fillId="0" borderId="0" xfId="0" applyNumberFormat="1" applyFont="1" applyFill="1" applyBorder="1" applyAlignment="1">
      <alignment/>
    </xf>
    <xf numFmtId="0" fontId="0" fillId="0" borderId="0" xfId="0" applyFont="1" applyFill="1" applyBorder="1" applyAlignment="1">
      <alignment horizontal="right"/>
    </xf>
    <xf numFmtId="182" fontId="0" fillId="0" borderId="0" xfId="0" applyNumberFormat="1" applyFill="1" applyBorder="1" applyAlignment="1">
      <alignment/>
    </xf>
    <xf numFmtId="185" fontId="0" fillId="0" borderId="2" xfId="0" applyNumberFormat="1" applyFill="1" applyBorder="1" applyAlignment="1">
      <alignment/>
    </xf>
    <xf numFmtId="185" fontId="2" fillId="0" borderId="2" xfId="0" applyNumberFormat="1" applyFont="1" applyFill="1" applyBorder="1" applyAlignment="1">
      <alignment/>
    </xf>
    <xf numFmtId="185" fontId="2" fillId="0" borderId="3" xfId="0" applyNumberFormat="1" applyFont="1" applyFill="1" applyBorder="1" applyAlignment="1">
      <alignment/>
    </xf>
    <xf numFmtId="1" fontId="2" fillId="0" borderId="3" xfId="0" applyNumberFormat="1" applyFont="1" applyFill="1" applyBorder="1" applyAlignment="1">
      <alignment/>
    </xf>
    <xf numFmtId="190" fontId="2" fillId="0" borderId="7" xfId="0" applyNumberFormat="1" applyFont="1" applyFill="1" applyBorder="1" applyAlignment="1">
      <alignment horizontal="right" vertical="center"/>
    </xf>
    <xf numFmtId="3" fontId="3" fillId="0" borderId="1" xfId="0" applyNumberFormat="1" applyFont="1" applyFill="1" applyBorder="1" applyAlignment="1">
      <alignment/>
    </xf>
    <xf numFmtId="3" fontId="2" fillId="0" borderId="0" xfId="0" applyNumberFormat="1" applyFont="1" applyFill="1" applyAlignment="1">
      <alignment wrapText="1"/>
    </xf>
    <xf numFmtId="0" fontId="0" fillId="0" borderId="0" xfId="0" applyNumberFormat="1" applyFont="1" applyFill="1" applyBorder="1" applyAlignment="1">
      <alignment/>
    </xf>
    <xf numFmtId="9" fontId="0" fillId="0" borderId="0" xfId="0" applyNumberFormat="1" applyFont="1" applyFill="1" applyBorder="1" applyAlignment="1">
      <alignment/>
    </xf>
    <xf numFmtId="9" fontId="0" fillId="0" borderId="2" xfId="0" applyNumberFormat="1" applyFont="1" applyFill="1" applyBorder="1" applyAlignment="1">
      <alignment/>
    </xf>
    <xf numFmtId="3" fontId="0" fillId="2" borderId="0" xfId="0" applyNumberFormat="1" applyFont="1" applyFill="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43"/>
  <sheetViews>
    <sheetView tabSelected="1" workbookViewId="0" topLeftCell="A1">
      <pane xSplit="1" ySplit="6" topLeftCell="B7" activePane="bottomRight" state="frozen"/>
      <selection pane="topLeft" activeCell="K6" sqref="K6"/>
      <selection pane="topRight" activeCell="A1" sqref="A1"/>
      <selection pane="bottomLeft" activeCell="A7" sqref="A7"/>
      <selection pane="bottomRight" activeCell="I30" sqref="I30"/>
    </sheetView>
  </sheetViews>
  <sheetFormatPr defaultColWidth="11.421875" defaultRowHeight="12.75"/>
  <cols>
    <col min="1" max="1" width="16.421875" style="5" customWidth="1"/>
    <col min="2" max="2" width="10.28125" style="0" customWidth="1"/>
    <col min="3" max="5" width="10.140625" style="0" customWidth="1"/>
    <col min="6" max="6" width="7.140625" style="0" customWidth="1"/>
    <col min="7" max="7" width="8.7109375" style="0" customWidth="1"/>
    <col min="8" max="8" width="8.00390625" style="0" customWidth="1"/>
    <col min="9" max="9" width="10.57421875" style="0" customWidth="1"/>
    <col min="10" max="10" width="8.57421875" style="0" customWidth="1"/>
    <col min="11" max="11" width="8.140625" style="0" customWidth="1"/>
    <col min="12" max="12" width="9.57421875" style="0" customWidth="1"/>
    <col min="13" max="13" width="9.8515625" style="0" customWidth="1"/>
    <col min="14" max="14" width="8.28125" style="0" customWidth="1"/>
    <col min="15" max="15" width="7.140625" style="15" customWidth="1"/>
    <col min="16" max="16" width="13.140625" style="15" customWidth="1"/>
    <col min="17" max="17" width="9.7109375" style="0" customWidth="1"/>
    <col min="18" max="18" width="9.00390625" style="0" customWidth="1"/>
    <col min="19" max="19" width="11.140625" style="0" customWidth="1"/>
    <col min="20" max="20" width="8.8515625" style="0" customWidth="1"/>
    <col min="21" max="21" width="7.00390625" style="0" customWidth="1"/>
    <col min="24" max="24" width="13.28125" style="0" customWidth="1"/>
    <col min="25" max="25" width="13.7109375" style="0" customWidth="1"/>
    <col min="26" max="26" width="13.421875" style="0" customWidth="1"/>
    <col min="27" max="27" width="11.28125" style="0" customWidth="1"/>
    <col min="29" max="29" width="9.8515625" style="0" customWidth="1"/>
    <col min="30" max="30" width="15.8515625" style="0" customWidth="1"/>
    <col min="31" max="31" width="16.421875" style="0" customWidth="1"/>
    <col min="32" max="32" width="13.00390625" style="0" customWidth="1"/>
    <col min="33" max="33" width="11.28125" style="0" customWidth="1"/>
    <col min="34" max="35" width="10.8515625" style="0" customWidth="1"/>
    <col min="36" max="36" width="7.421875" style="0" customWidth="1"/>
    <col min="37" max="37" width="9.00390625" style="0" customWidth="1"/>
    <col min="38" max="38" width="10.57421875" style="0" customWidth="1"/>
    <col min="39" max="39" width="9.7109375" style="0" customWidth="1"/>
    <col min="40" max="40" width="8.00390625" style="0" customWidth="1"/>
    <col min="41" max="41" width="8.28125" style="0" bestFit="1" customWidth="1"/>
    <col min="42" max="42" width="8.00390625" style="0" customWidth="1"/>
    <col min="43" max="43" width="8.7109375" style="0" customWidth="1"/>
    <col min="44" max="44" width="5.57421875" style="0" customWidth="1"/>
    <col min="45" max="45" width="5.7109375" style="0" customWidth="1"/>
    <col min="46" max="46" width="6.140625" style="0" customWidth="1"/>
    <col min="47" max="47" width="7.00390625" style="0" customWidth="1"/>
    <col min="48" max="49" width="8.140625" style="106" customWidth="1"/>
  </cols>
  <sheetData>
    <row r="1" ht="18">
      <c r="A1" s="1" t="s">
        <v>147</v>
      </c>
    </row>
    <row r="2" spans="1:19" ht="18">
      <c r="A2" s="1"/>
      <c r="N2" s="8"/>
      <c r="O2" s="48"/>
      <c r="P2" s="48"/>
      <c r="Q2" s="8"/>
      <c r="R2" s="8"/>
      <c r="S2" s="8"/>
    </row>
    <row r="3" spans="1:49" ht="18">
      <c r="A3" s="1"/>
      <c r="F3" s="43"/>
      <c r="H3" s="9" t="s">
        <v>35</v>
      </c>
      <c r="I3" s="9" t="s">
        <v>2</v>
      </c>
      <c r="J3" s="9" t="s">
        <v>3</v>
      </c>
      <c r="K3" s="9" t="s">
        <v>4</v>
      </c>
      <c r="L3" s="9" t="s">
        <v>5</v>
      </c>
      <c r="M3" s="9" t="s">
        <v>6</v>
      </c>
      <c r="N3" s="9" t="s">
        <v>36</v>
      </c>
      <c r="O3" s="49" t="s">
        <v>37</v>
      </c>
      <c r="P3" s="9" t="s">
        <v>38</v>
      </c>
      <c r="Q3" s="10" t="s">
        <v>39</v>
      </c>
      <c r="R3" s="10" t="s">
        <v>40</v>
      </c>
      <c r="S3" s="10" t="s">
        <v>41</v>
      </c>
      <c r="T3" s="9" t="s">
        <v>7</v>
      </c>
      <c r="U3" s="9" t="s">
        <v>8</v>
      </c>
      <c r="V3" s="9" t="s">
        <v>9</v>
      </c>
      <c r="W3" s="9" t="s">
        <v>10</v>
      </c>
      <c r="X3" s="9" t="s">
        <v>11</v>
      </c>
      <c r="Y3" s="9" t="s">
        <v>12</v>
      </c>
      <c r="Z3" s="9" t="s">
        <v>13</v>
      </c>
      <c r="AA3" s="9" t="s">
        <v>14</v>
      </c>
      <c r="AB3" s="9" t="s">
        <v>16</v>
      </c>
      <c r="AC3" s="9" t="s">
        <v>17</v>
      </c>
      <c r="AD3" s="9" t="s">
        <v>18</v>
      </c>
      <c r="AE3" s="9" t="s">
        <v>19</v>
      </c>
      <c r="AF3" s="9" t="s">
        <v>20</v>
      </c>
      <c r="AG3" s="9" t="s">
        <v>21</v>
      </c>
      <c r="AH3" s="9" t="s">
        <v>22</v>
      </c>
      <c r="AI3" s="9" t="s">
        <v>23</v>
      </c>
      <c r="AJ3" s="9" t="s">
        <v>24</v>
      </c>
      <c r="AK3" s="9" t="s">
        <v>25</v>
      </c>
      <c r="AL3" s="9" t="s">
        <v>26</v>
      </c>
      <c r="AM3" s="9" t="s">
        <v>27</v>
      </c>
      <c r="AN3" s="9"/>
      <c r="AO3" s="9"/>
      <c r="AP3" s="9"/>
      <c r="AQ3" s="9"/>
      <c r="AR3" s="9"/>
      <c r="AS3" s="9"/>
      <c r="AT3" s="9"/>
      <c r="AU3" s="9"/>
      <c r="AV3" s="107"/>
      <c r="AW3" s="107"/>
    </row>
    <row r="4" spans="1:49" ht="33">
      <c r="A4" s="3"/>
      <c r="B4" s="3"/>
      <c r="C4" s="3"/>
      <c r="D4" s="3"/>
      <c r="E4" s="3"/>
      <c r="F4" s="44"/>
      <c r="G4" s="20" t="s">
        <v>88</v>
      </c>
      <c r="H4" s="20" t="s">
        <v>123</v>
      </c>
      <c r="I4" s="20" t="s">
        <v>58</v>
      </c>
      <c r="J4" s="20" t="s">
        <v>59</v>
      </c>
      <c r="K4" s="20" t="s">
        <v>60</v>
      </c>
      <c r="L4" s="20" t="s">
        <v>61</v>
      </c>
      <c r="M4" s="20" t="s">
        <v>62</v>
      </c>
      <c r="N4" s="21" t="s">
        <v>63</v>
      </c>
      <c r="O4" s="50" t="s">
        <v>64</v>
      </c>
      <c r="P4" s="57" t="s">
        <v>65</v>
      </c>
      <c r="Q4" s="20" t="s">
        <v>66</v>
      </c>
      <c r="R4" s="21" t="s">
        <v>67</v>
      </c>
      <c r="S4" s="21" t="s">
        <v>68</v>
      </c>
      <c r="T4" s="20" t="s">
        <v>69</v>
      </c>
      <c r="U4" s="20" t="s">
        <v>70</v>
      </c>
      <c r="V4" s="20" t="s">
        <v>71</v>
      </c>
      <c r="W4" s="20" t="s">
        <v>72</v>
      </c>
      <c r="X4" s="20" t="s">
        <v>73</v>
      </c>
      <c r="Y4" s="20" t="s">
        <v>74</v>
      </c>
      <c r="Z4" s="20" t="s">
        <v>75</v>
      </c>
      <c r="AA4" s="20" t="s">
        <v>15</v>
      </c>
      <c r="AB4" s="20" t="s">
        <v>76</v>
      </c>
      <c r="AC4" s="20" t="s">
        <v>122</v>
      </c>
      <c r="AD4" s="20" t="s">
        <v>121</v>
      </c>
      <c r="AE4" s="20" t="s">
        <v>120</v>
      </c>
      <c r="AF4" s="20" t="s">
        <v>119</v>
      </c>
      <c r="AG4" s="20" t="s">
        <v>76</v>
      </c>
      <c r="AH4" s="20" t="s">
        <v>72</v>
      </c>
      <c r="AI4" s="20" t="s">
        <v>118</v>
      </c>
      <c r="AJ4" s="20" t="s">
        <v>117</v>
      </c>
      <c r="AK4" s="20" t="s">
        <v>77</v>
      </c>
      <c r="AL4" s="20" t="s">
        <v>78</v>
      </c>
      <c r="AM4" s="20" t="s">
        <v>79</v>
      </c>
      <c r="AN4" s="50" t="s">
        <v>128</v>
      </c>
      <c r="AO4" s="50" t="s">
        <v>130</v>
      </c>
      <c r="AP4" s="50" t="s">
        <v>129</v>
      </c>
      <c r="AQ4" s="50" t="s">
        <v>132</v>
      </c>
      <c r="AR4" s="50" t="s">
        <v>135</v>
      </c>
      <c r="AS4" s="50" t="s">
        <v>138</v>
      </c>
      <c r="AT4" s="50" t="s">
        <v>140</v>
      </c>
      <c r="AU4" s="50" t="s">
        <v>142</v>
      </c>
      <c r="AV4" s="133"/>
      <c r="AW4" s="133"/>
    </row>
    <row r="5" spans="1:49" ht="127.5">
      <c r="A5" s="2" t="s">
        <v>0</v>
      </c>
      <c r="B5" s="4" t="s">
        <v>97</v>
      </c>
      <c r="C5" s="4" t="s">
        <v>98</v>
      </c>
      <c r="D5" s="4" t="s">
        <v>99</v>
      </c>
      <c r="E5" s="4" t="s">
        <v>100</v>
      </c>
      <c r="F5" s="45" t="s">
        <v>90</v>
      </c>
      <c r="G5" s="11" t="s">
        <v>89</v>
      </c>
      <c r="H5" s="11" t="s">
        <v>112</v>
      </c>
      <c r="I5" s="11" t="s">
        <v>42</v>
      </c>
      <c r="J5" s="11" t="s">
        <v>43</v>
      </c>
      <c r="K5" s="11" t="s">
        <v>44</v>
      </c>
      <c r="L5" s="51" t="s">
        <v>45</v>
      </c>
      <c r="M5" s="11" t="s">
        <v>80</v>
      </c>
      <c r="N5" s="11" t="s">
        <v>46</v>
      </c>
      <c r="O5" s="51" t="s">
        <v>47</v>
      </c>
      <c r="P5" s="51" t="s">
        <v>101</v>
      </c>
      <c r="Q5" s="11" t="s">
        <v>48</v>
      </c>
      <c r="R5" s="11" t="s">
        <v>49</v>
      </c>
      <c r="S5" s="11" t="s">
        <v>50</v>
      </c>
      <c r="T5" s="11" t="s">
        <v>51</v>
      </c>
      <c r="U5" s="11" t="s">
        <v>52</v>
      </c>
      <c r="V5" s="11" t="s">
        <v>53</v>
      </c>
      <c r="W5" s="11" t="s">
        <v>29</v>
      </c>
      <c r="X5" s="11" t="s">
        <v>54</v>
      </c>
      <c r="Y5" s="11" t="s">
        <v>55</v>
      </c>
      <c r="Z5" s="11" t="s">
        <v>57</v>
      </c>
      <c r="AA5" s="11" t="s">
        <v>56</v>
      </c>
      <c r="AB5" s="11" t="s">
        <v>28</v>
      </c>
      <c r="AC5" s="11" t="s">
        <v>113</v>
      </c>
      <c r="AD5" s="11" t="s">
        <v>114</v>
      </c>
      <c r="AE5" s="11" t="s">
        <v>115</v>
      </c>
      <c r="AF5" s="11" t="s">
        <v>116</v>
      </c>
      <c r="AG5" s="11" t="s">
        <v>28</v>
      </c>
      <c r="AH5" s="11" t="s">
        <v>29</v>
      </c>
      <c r="AI5" s="11" t="s">
        <v>30</v>
      </c>
      <c r="AJ5" s="11" t="s">
        <v>31</v>
      </c>
      <c r="AK5" s="11" t="s">
        <v>32</v>
      </c>
      <c r="AL5" s="11" t="s">
        <v>33</v>
      </c>
      <c r="AM5" s="11" t="s">
        <v>34</v>
      </c>
      <c r="AN5" s="51" t="s">
        <v>125</v>
      </c>
      <c r="AO5" s="51" t="s">
        <v>131</v>
      </c>
      <c r="AP5" s="51" t="s">
        <v>127</v>
      </c>
      <c r="AQ5" s="51" t="s">
        <v>133</v>
      </c>
      <c r="AR5" s="51" t="s">
        <v>134</v>
      </c>
      <c r="AS5" s="51" t="s">
        <v>137</v>
      </c>
      <c r="AT5" s="51" t="s">
        <v>139</v>
      </c>
      <c r="AU5" s="51" t="s">
        <v>141</v>
      </c>
      <c r="AV5" s="134" t="s">
        <v>143</v>
      </c>
      <c r="AW5" s="134" t="s">
        <v>144</v>
      </c>
    </row>
    <row r="6" spans="1:49" s="6" customFormat="1" ht="39" thickBot="1">
      <c r="A6" s="22"/>
      <c r="B6" s="12" t="s">
        <v>93</v>
      </c>
      <c r="C6" s="12" t="s">
        <v>93</v>
      </c>
      <c r="D6" s="12" t="s">
        <v>93</v>
      </c>
      <c r="E6" s="12" t="s">
        <v>93</v>
      </c>
      <c r="F6" s="46" t="s">
        <v>1</v>
      </c>
      <c r="G6" s="12" t="s">
        <v>94</v>
      </c>
      <c r="H6" s="12" t="s">
        <v>94</v>
      </c>
      <c r="I6" s="12" t="s">
        <v>94</v>
      </c>
      <c r="J6" s="12" t="s">
        <v>94</v>
      </c>
      <c r="K6" s="12" t="s">
        <v>94</v>
      </c>
      <c r="L6" s="12" t="s">
        <v>82</v>
      </c>
      <c r="M6" s="12" t="s">
        <v>94</v>
      </c>
      <c r="N6" s="12" t="s">
        <v>95</v>
      </c>
      <c r="O6" s="12" t="s">
        <v>96</v>
      </c>
      <c r="P6" s="52" t="s">
        <v>1</v>
      </c>
      <c r="Q6" s="12" t="s">
        <v>96</v>
      </c>
      <c r="R6" s="12" t="s">
        <v>96</v>
      </c>
      <c r="S6" s="12" t="s">
        <v>1</v>
      </c>
      <c r="T6" s="12" t="s">
        <v>96</v>
      </c>
      <c r="U6" s="12" t="s">
        <v>96</v>
      </c>
      <c r="V6" s="12" t="s">
        <v>1</v>
      </c>
      <c r="W6" s="12" t="s">
        <v>104</v>
      </c>
      <c r="X6" s="12" t="s">
        <v>103</v>
      </c>
      <c r="Y6" s="12" t="s">
        <v>1</v>
      </c>
      <c r="Z6" s="12" t="s">
        <v>1</v>
      </c>
      <c r="AA6" s="12" t="s">
        <v>84</v>
      </c>
      <c r="AB6" s="12" t="s">
        <v>86</v>
      </c>
      <c r="AC6" s="12" t="s">
        <v>81</v>
      </c>
      <c r="AD6" s="12" t="s">
        <v>81</v>
      </c>
      <c r="AE6" s="12" t="s">
        <v>81</v>
      </c>
      <c r="AF6" s="12" t="s">
        <v>83</v>
      </c>
      <c r="AG6" s="12" t="s">
        <v>86</v>
      </c>
      <c r="AH6" s="12" t="s">
        <v>86</v>
      </c>
      <c r="AI6" s="12" t="s">
        <v>82</v>
      </c>
      <c r="AJ6" s="12" t="s">
        <v>82</v>
      </c>
      <c r="AK6" s="12" t="s">
        <v>85</v>
      </c>
      <c r="AL6" s="12" t="s">
        <v>87</v>
      </c>
      <c r="AM6" s="12" t="s">
        <v>1</v>
      </c>
      <c r="AN6" s="12" t="s">
        <v>126</v>
      </c>
      <c r="AO6" s="12" t="s">
        <v>126</v>
      </c>
      <c r="AP6" s="12" t="s">
        <v>126</v>
      </c>
      <c r="AQ6" s="12" t="s">
        <v>126</v>
      </c>
      <c r="AR6" s="12" t="s">
        <v>136</v>
      </c>
      <c r="AS6" s="12" t="s">
        <v>136</v>
      </c>
      <c r="AT6" s="12" t="s">
        <v>1</v>
      </c>
      <c r="AU6" s="12" t="s">
        <v>1</v>
      </c>
      <c r="AV6" s="108" t="s">
        <v>145</v>
      </c>
      <c r="AW6" s="108" t="s">
        <v>145</v>
      </c>
    </row>
    <row r="7" spans="1:49" ht="12.75">
      <c r="A7" s="23">
        <v>40118</v>
      </c>
      <c r="B7" s="32">
        <v>241043.54399999956</v>
      </c>
      <c r="C7" s="32">
        <v>193651.451999999</v>
      </c>
      <c r="D7" s="32">
        <v>244799.1</v>
      </c>
      <c r="E7" s="32">
        <v>204417</v>
      </c>
      <c r="F7" s="87">
        <v>46.25020338316306</v>
      </c>
      <c r="G7" s="85">
        <f aca="true" t="shared" si="0" ref="G7:G15">AC7-H7</f>
        <v>7903.440476999973</v>
      </c>
      <c r="H7" s="118">
        <f>I7+J7+K7</f>
        <v>1530.0976230000267</v>
      </c>
      <c r="I7" s="92">
        <f aca="true" t="shared" si="1" ref="I7:I18">L7*M7</f>
        <v>29.743200000000005</v>
      </c>
      <c r="J7" s="118">
        <f>(N7+Q7+T7)*(W$10+X7*AA7)</f>
        <v>1195.411238999996</v>
      </c>
      <c r="K7" s="119">
        <f>AB$7*((O7-N7)+R7*(1-S$10)+U7*(1-V$10))</f>
        <v>304.9431840000306</v>
      </c>
      <c r="L7" s="105">
        <f aca="true" t="shared" si="2" ref="L7:L18">(AV7+AW7)/1000</f>
        <v>43.74</v>
      </c>
      <c r="M7" s="62">
        <v>0.68</v>
      </c>
      <c r="N7" s="117">
        <f>(B7+C7)/1000</f>
        <v>434.6949959999985</v>
      </c>
      <c r="O7" s="53">
        <f>(D7+E7)/1000</f>
        <v>449.2161</v>
      </c>
      <c r="P7" s="120">
        <f>N7/O7</f>
        <v>0.9676745690993679</v>
      </c>
      <c r="Q7" s="36">
        <v>0</v>
      </c>
      <c r="R7" s="36">
        <v>0</v>
      </c>
      <c r="S7" s="66">
        <v>0.995</v>
      </c>
      <c r="T7" s="53">
        <f>U7*V$10</f>
        <v>0</v>
      </c>
      <c r="U7" s="15"/>
      <c r="V7" s="17">
        <v>0.995</v>
      </c>
      <c r="W7" s="16">
        <v>2.75</v>
      </c>
      <c r="X7">
        <v>0</v>
      </c>
      <c r="Y7" s="76">
        <f aca="true" t="shared" si="3" ref="Y7:Y19">F7/100</f>
        <v>0.46250203383163063</v>
      </c>
      <c r="Z7" s="15">
        <v>0</v>
      </c>
      <c r="AA7">
        <f aca="true" t="shared" si="4" ref="AA7:AA15">IF(Y7,Z7/Y7,0)</f>
        <v>0</v>
      </c>
      <c r="AB7" s="16">
        <v>21</v>
      </c>
      <c r="AC7" s="85">
        <f>AD7+AE7</f>
        <v>9433.5381</v>
      </c>
      <c r="AD7" s="85">
        <f>AF7*AG7</f>
        <v>9433.5381</v>
      </c>
      <c r="AE7" s="53">
        <f>AI7*AK$10+AJ7*AL$10/AM$10</f>
        <v>0</v>
      </c>
      <c r="AF7" s="85">
        <f>(O7+R7+U7)</f>
        <v>449.2161</v>
      </c>
      <c r="AG7" s="81">
        <v>21</v>
      </c>
      <c r="AH7" s="81">
        <v>2.75</v>
      </c>
      <c r="AI7" s="36">
        <v>0</v>
      </c>
      <c r="AJ7" s="53">
        <v>0</v>
      </c>
      <c r="AK7" s="62">
        <v>0.68</v>
      </c>
      <c r="AL7" s="78">
        <v>0.3406</v>
      </c>
      <c r="AM7" s="96">
        <v>0.91</v>
      </c>
      <c r="AN7" s="84">
        <f>27*24</f>
        <v>648</v>
      </c>
      <c r="AO7" s="84">
        <f>27*24</f>
        <v>648</v>
      </c>
      <c r="AP7" s="84">
        <f>27*24</f>
        <v>648</v>
      </c>
      <c r="AQ7" s="84">
        <f>27*24</f>
        <v>648</v>
      </c>
      <c r="AR7" s="135">
        <v>45</v>
      </c>
      <c r="AS7" s="135">
        <v>60</v>
      </c>
      <c r="AT7" s="136">
        <v>0.75</v>
      </c>
      <c r="AU7" s="136">
        <v>0.45</v>
      </c>
      <c r="AV7" s="34">
        <f>(AT7*AR7*AN7+((AO7-AN7)*(AS7-AR7)*AU7))</f>
        <v>21870</v>
      </c>
      <c r="AW7" s="34">
        <f>(AT7*AR7*AP7+((AQ7-AP7)*(AS7-AR7)*AU7))</f>
        <v>21870</v>
      </c>
    </row>
    <row r="8" spans="1:49" ht="13.5" thickBot="1">
      <c r="A8" s="23">
        <v>40148</v>
      </c>
      <c r="B8" s="32">
        <v>274482.99899999925</v>
      </c>
      <c r="C8" s="32">
        <v>259903.13399999868</v>
      </c>
      <c r="D8" s="32">
        <v>278471.69999999815</v>
      </c>
      <c r="E8" s="32">
        <v>274545.9000000013</v>
      </c>
      <c r="F8" s="87">
        <v>42.814327457627186</v>
      </c>
      <c r="G8" s="86">
        <f t="shared" si="0"/>
        <v>9718.397327249962</v>
      </c>
      <c r="H8" s="86">
        <f>I8+J8+K8</f>
        <v>1894.9722727500261</v>
      </c>
      <c r="I8" s="93">
        <f t="shared" si="1"/>
        <v>34.1496</v>
      </c>
      <c r="J8" s="86">
        <f>(N8+Q8+T8)*(W$10+X8*AA8)</f>
        <v>1469.5618657499942</v>
      </c>
      <c r="K8" s="26">
        <f>AB$7*((O8-N8)+R8*(1-S$10)+U8*(1-V$10))</f>
        <v>391.26080700003195</v>
      </c>
      <c r="L8" s="105">
        <f t="shared" si="2"/>
        <v>50.22</v>
      </c>
      <c r="M8" s="121">
        <v>0.68</v>
      </c>
      <c r="N8" s="35">
        <f>(B8+C8)/1000</f>
        <v>534.3861329999979</v>
      </c>
      <c r="O8" s="54">
        <f>(D8+E8)/1000</f>
        <v>553.0175999999994</v>
      </c>
      <c r="P8" s="60">
        <f>N8/O8</f>
        <v>0.9663094501874777</v>
      </c>
      <c r="Q8" s="37">
        <v>0</v>
      </c>
      <c r="R8" s="37">
        <v>0</v>
      </c>
      <c r="S8" s="67">
        <v>0.995</v>
      </c>
      <c r="T8" s="54">
        <f>U8*V$10</f>
        <v>0</v>
      </c>
      <c r="U8" s="28"/>
      <c r="V8" s="128">
        <v>0.995</v>
      </c>
      <c r="W8" s="72">
        <v>2.75</v>
      </c>
      <c r="X8" s="27">
        <v>0</v>
      </c>
      <c r="Y8" s="77">
        <f t="shared" si="3"/>
        <v>0.4281432745762719</v>
      </c>
      <c r="Z8" s="28">
        <v>0</v>
      </c>
      <c r="AA8" s="27">
        <f t="shared" si="4"/>
        <v>0</v>
      </c>
      <c r="AB8" s="72">
        <v>21</v>
      </c>
      <c r="AC8" s="86">
        <f>AD8+AE8</f>
        <v>11613.369599999989</v>
      </c>
      <c r="AD8" s="86">
        <f>AF8*AG8</f>
        <v>11613.369599999989</v>
      </c>
      <c r="AE8" s="53">
        <f>AI8*AK$10+AJ8*AL$10/AM$10</f>
        <v>0</v>
      </c>
      <c r="AF8" s="86">
        <f>(O8+R8+U8)</f>
        <v>553.0175999999994</v>
      </c>
      <c r="AG8" s="82">
        <v>21</v>
      </c>
      <c r="AH8" s="82">
        <v>2.75</v>
      </c>
      <c r="AI8" s="37">
        <v>0</v>
      </c>
      <c r="AJ8" s="54">
        <v>0</v>
      </c>
      <c r="AK8" s="62">
        <v>0.68</v>
      </c>
      <c r="AL8" s="79">
        <v>0.3406</v>
      </c>
      <c r="AM8" s="98">
        <v>0.91</v>
      </c>
      <c r="AN8" s="84">
        <f>31*24</f>
        <v>744</v>
      </c>
      <c r="AO8" s="84">
        <f>31*24</f>
        <v>744</v>
      </c>
      <c r="AP8" s="84">
        <f>31*24</f>
        <v>744</v>
      </c>
      <c r="AQ8" s="84">
        <f>31*24</f>
        <v>744</v>
      </c>
      <c r="AR8" s="135">
        <v>45</v>
      </c>
      <c r="AS8" s="135">
        <v>60</v>
      </c>
      <c r="AT8" s="137">
        <v>0.75</v>
      </c>
      <c r="AU8" s="137">
        <v>0.45</v>
      </c>
      <c r="AV8" s="34">
        <f>(AT8*AR8*AN8+((AO8-AN8)*(AS8-AR8)*AU8))</f>
        <v>25110</v>
      </c>
      <c r="AW8" s="34">
        <f>(AT8*AR8*AP8+((AQ8-AP8)*(AS8-AR8)*AU8))</f>
        <v>25110</v>
      </c>
    </row>
    <row r="9" spans="1:49" ht="13.5" thickBot="1">
      <c r="A9" s="29" t="s">
        <v>91</v>
      </c>
      <c r="B9" s="30">
        <f>SUM(B7:B8)</f>
        <v>515526.5429999988</v>
      </c>
      <c r="C9" s="30">
        <f>SUM(C7:C8)</f>
        <v>453554.5859999977</v>
      </c>
      <c r="D9" s="30">
        <f>SUM(D7:D8)</f>
        <v>523270.7999999982</v>
      </c>
      <c r="E9" s="30">
        <f>SUM(E7:E8)</f>
        <v>478962.9000000013</v>
      </c>
      <c r="F9" s="88">
        <f>AVERAGE(F7:F8)</f>
        <v>44.53226542039512</v>
      </c>
      <c r="G9" s="114">
        <f aca="true" t="shared" si="5" ref="G9:L9">SUM(G7:G8)</f>
        <v>17621.837804249935</v>
      </c>
      <c r="H9" s="114">
        <f t="shared" si="5"/>
        <v>3425.0698957500526</v>
      </c>
      <c r="I9" s="114">
        <f t="shared" si="5"/>
        <v>63.89280000000001</v>
      </c>
      <c r="J9" s="24">
        <f t="shared" si="5"/>
        <v>2664.97310474999</v>
      </c>
      <c r="K9" s="25">
        <f t="shared" si="5"/>
        <v>696.2039910000626</v>
      </c>
      <c r="L9" s="64">
        <f t="shared" si="5"/>
        <v>93.96000000000001</v>
      </c>
      <c r="M9" s="63">
        <v>0.68</v>
      </c>
      <c r="N9" s="25">
        <f>SUM(N7:N8)</f>
        <v>969.0811289999965</v>
      </c>
      <c r="O9" s="110">
        <f>SUM(O7:O8)</f>
        <v>1002.2336999999994</v>
      </c>
      <c r="P9" s="102">
        <f>AVERAGE(P7:P8)</f>
        <v>0.9669920096434228</v>
      </c>
      <c r="Q9" s="38">
        <f>SUM(Q7:Q8)</f>
        <v>0</v>
      </c>
      <c r="R9" s="38">
        <f>SUM(R7:R8)</f>
        <v>0</v>
      </c>
      <c r="S9" s="67">
        <v>0.995</v>
      </c>
      <c r="T9" s="55">
        <f>SUM(T7:T8)</f>
        <v>0</v>
      </c>
      <c r="U9" s="55"/>
      <c r="V9" s="129">
        <v>0.995</v>
      </c>
      <c r="W9" s="73">
        <v>2.75</v>
      </c>
      <c r="X9" s="25">
        <f>SUM(X7:X8)</f>
        <v>0</v>
      </c>
      <c r="Y9" s="69">
        <f>AVERAGE(Y7:Y8)</f>
        <v>0.44532265420395123</v>
      </c>
      <c r="Z9" s="25">
        <f>AVERAGE(Z7:Z8)</f>
        <v>0</v>
      </c>
      <c r="AA9" s="25">
        <f>AVERAGE(AA7:AA8)</f>
        <v>0</v>
      </c>
      <c r="AB9" s="55">
        <f>AVERAGE(AB7:AB8)</f>
        <v>21</v>
      </c>
      <c r="AC9" s="111">
        <f>SUM(AC7:AC8)</f>
        <v>21046.90769999999</v>
      </c>
      <c r="AD9" s="30">
        <f>SUM(AD7:AD8)</f>
        <v>21046.90769999999</v>
      </c>
      <c r="AE9" s="131">
        <f>SUM(AE7:AE8)</f>
        <v>0</v>
      </c>
      <c r="AF9" s="31">
        <f>SUM(AF7:AF8)</f>
        <v>1002.2336999999994</v>
      </c>
      <c r="AG9" s="83">
        <v>21</v>
      </c>
      <c r="AH9" s="83">
        <v>2.75</v>
      </c>
      <c r="AI9" s="38">
        <f>SUM(AI7:AI8)</f>
        <v>0</v>
      </c>
      <c r="AJ9" s="55">
        <f>SUM(AJ7:AJ8)</f>
        <v>0</v>
      </c>
      <c r="AK9" s="116">
        <v>0.68</v>
      </c>
      <c r="AL9" s="80">
        <v>0.3406</v>
      </c>
      <c r="AM9" s="97">
        <v>0.91</v>
      </c>
      <c r="AN9" s="83">
        <f>SUM(AN7:AN8)</f>
        <v>1392</v>
      </c>
      <c r="AO9" s="83">
        <f>SUM(AO7:AO8)</f>
        <v>1392</v>
      </c>
      <c r="AP9" s="83">
        <f>SUM(AP7:AP8)</f>
        <v>1392</v>
      </c>
      <c r="AQ9" s="83">
        <f>SUM(AQ7:AQ8)</f>
        <v>1392</v>
      </c>
      <c r="AR9" s="83">
        <v>45</v>
      </c>
      <c r="AS9" s="83">
        <v>60</v>
      </c>
      <c r="AT9" s="97">
        <v>0.75</v>
      </c>
      <c r="AU9" s="97">
        <v>0.45</v>
      </c>
      <c r="AV9" s="83">
        <f>SUM(AV7:AV8)</f>
        <v>46980</v>
      </c>
      <c r="AW9" s="83">
        <f>SUM(AW7:AW8)</f>
        <v>46980</v>
      </c>
    </row>
    <row r="10" spans="1:49" ht="12.75">
      <c r="A10" s="23">
        <v>40179</v>
      </c>
      <c r="B10" s="32">
        <v>154685.74950000094</v>
      </c>
      <c r="C10" s="32">
        <v>195863.8184999999</v>
      </c>
      <c r="D10" s="32">
        <v>175998.6</v>
      </c>
      <c r="E10" s="32">
        <v>206833.5</v>
      </c>
      <c r="F10" s="87">
        <v>39.76045737822338</v>
      </c>
      <c r="G10" s="85">
        <f>AC10-H10</f>
        <v>7317.744735475988</v>
      </c>
      <c r="H10" s="85">
        <f>I10+J10+K10</f>
        <v>1798.8891045734395</v>
      </c>
      <c r="I10" s="92">
        <f t="shared" si="1"/>
        <v>33.44652</v>
      </c>
      <c r="J10" s="85">
        <f aca="true" t="shared" si="6" ref="J10:J19">(N10+Q10+T10)*(W$10+X10*AA10)</f>
        <v>1082.9454704493173</v>
      </c>
      <c r="K10" s="7">
        <f aca="true" t="shared" si="7" ref="K10:K19">AB$7*((O10-N10)+R10*(1-S$10)+U10*(1-V$10))</f>
        <v>682.4971141241222</v>
      </c>
      <c r="L10" s="105">
        <f t="shared" si="2"/>
        <v>50.22</v>
      </c>
      <c r="M10" s="61">
        <v>0.666</v>
      </c>
      <c r="N10" s="34">
        <f aca="true" t="shared" si="8" ref="N10:N19">(B10+C10)/1000</f>
        <v>350.5495680000008</v>
      </c>
      <c r="O10" s="53">
        <f>(D10+E10)/1000</f>
        <v>382.83209999999997</v>
      </c>
      <c r="P10" s="59">
        <f>N10/O10</f>
        <v>0.9156744379585746</v>
      </c>
      <c r="Q10" s="36">
        <v>0</v>
      </c>
      <c r="R10" s="36">
        <v>0</v>
      </c>
      <c r="S10" s="66">
        <v>0.995</v>
      </c>
      <c r="T10" s="53">
        <f aca="true" t="shared" si="9" ref="T10:T18">U10*V$10</f>
        <v>43.24878489066001</v>
      </c>
      <c r="U10" s="32">
        <v>43.46611546800001</v>
      </c>
      <c r="V10" s="17">
        <v>0.995</v>
      </c>
      <c r="W10" s="16">
        <v>2.75</v>
      </c>
      <c r="X10">
        <v>0</v>
      </c>
      <c r="Y10" s="76">
        <f t="shared" si="3"/>
        <v>0.3976045737822338</v>
      </c>
      <c r="Z10" s="15">
        <v>0</v>
      </c>
      <c r="AA10">
        <f t="shared" si="4"/>
        <v>0</v>
      </c>
      <c r="AB10" s="16">
        <v>21</v>
      </c>
      <c r="AC10" s="85">
        <f>AD10+AE10</f>
        <v>9116.633840049428</v>
      </c>
      <c r="AD10" s="85">
        <f>AF10*AG10</f>
        <v>8952.262524828</v>
      </c>
      <c r="AE10" s="53">
        <f aca="true" t="shared" si="10" ref="AE10:AE19">AI10*AK$10+AJ10*AL$10/AM$10</f>
        <v>164.3713152214286</v>
      </c>
      <c r="AF10" s="85">
        <f>(O10+R10+U10)</f>
        <v>426.29821546799997</v>
      </c>
      <c r="AG10" s="81">
        <v>21</v>
      </c>
      <c r="AH10" s="81">
        <v>2.75</v>
      </c>
      <c r="AI10" s="36">
        <v>0</v>
      </c>
      <c r="AJ10" s="32">
        <v>439.1600025000001</v>
      </c>
      <c r="AK10" s="62">
        <v>0.666</v>
      </c>
      <c r="AL10" s="78">
        <v>0.3406</v>
      </c>
      <c r="AM10" s="96">
        <v>0.91</v>
      </c>
      <c r="AN10" s="84">
        <f>31*24</f>
        <v>744</v>
      </c>
      <c r="AO10" s="84">
        <f>31*24</f>
        <v>744</v>
      </c>
      <c r="AP10" s="84">
        <f>31*24</f>
        <v>744</v>
      </c>
      <c r="AQ10" s="84">
        <f>31*24</f>
        <v>744</v>
      </c>
      <c r="AR10" s="135">
        <v>45</v>
      </c>
      <c r="AS10" s="135">
        <v>60</v>
      </c>
      <c r="AT10" s="136">
        <v>0.75</v>
      </c>
      <c r="AU10" s="136">
        <v>0.45</v>
      </c>
      <c r="AV10" s="34">
        <f>(AT10*AR10*AN10+((AO10-AN10)*(AS10-AR10)*AU10))</f>
        <v>25110</v>
      </c>
      <c r="AW10" s="34">
        <f>(AT10*AR10*AP10+((AQ10-AP10)*(AS10-AR10)*AU10))</f>
        <v>25110</v>
      </c>
    </row>
    <row r="11" spans="1:49" ht="12.75">
      <c r="A11" s="23">
        <v>40210</v>
      </c>
      <c r="B11" s="32">
        <v>166435.72200000013</v>
      </c>
      <c r="C11" s="32">
        <v>106129.24649999986</v>
      </c>
      <c r="D11" s="32">
        <v>173174.39999999935</v>
      </c>
      <c r="E11" s="32">
        <v>107972.1</v>
      </c>
      <c r="F11" s="87">
        <v>35.26994332939777</v>
      </c>
      <c r="G11" s="85">
        <f>AC11-H11</f>
        <v>10962.71384698564</v>
      </c>
      <c r="H11" s="85">
        <f>I11+J11+K11</f>
        <v>1737.5049376596285</v>
      </c>
      <c r="I11" s="92">
        <f t="shared" si="1"/>
        <v>30.209760000000003</v>
      </c>
      <c r="J11" s="85">
        <f t="shared" si="6"/>
        <v>1498.3489793651358</v>
      </c>
      <c r="K11" s="7">
        <f t="shared" si="7"/>
        <v>208.94619829449272</v>
      </c>
      <c r="L11" s="105">
        <f t="shared" si="2"/>
        <v>45.36</v>
      </c>
      <c r="M11" s="61">
        <v>0.666</v>
      </c>
      <c r="N11" s="34">
        <f t="shared" si="8"/>
        <v>272.56496849999996</v>
      </c>
      <c r="O11" s="53">
        <f aca="true" t="shared" si="11" ref="O11:O19">(D11+E11)/1000</f>
        <v>281.1464999999994</v>
      </c>
      <c r="P11" s="59">
        <f aca="true" t="shared" si="12" ref="P11:P19">N11/O11</f>
        <v>0.9694766554091926</v>
      </c>
      <c r="Q11" s="36">
        <v>0</v>
      </c>
      <c r="R11" s="36">
        <v>0</v>
      </c>
      <c r="S11" s="66">
        <v>0.995</v>
      </c>
      <c r="T11" s="53">
        <f t="shared" si="9"/>
        <v>272.2892058145949</v>
      </c>
      <c r="U11" s="32">
        <v>273.65749328099986</v>
      </c>
      <c r="V11" s="17">
        <v>0.995</v>
      </c>
      <c r="W11" s="16">
        <v>2.75</v>
      </c>
      <c r="X11">
        <v>0</v>
      </c>
      <c r="Y11" s="76">
        <f t="shared" si="3"/>
        <v>0.3526994332939777</v>
      </c>
      <c r="Z11" s="15">
        <v>0</v>
      </c>
      <c r="AA11">
        <f t="shared" si="4"/>
        <v>0</v>
      </c>
      <c r="AB11" s="16">
        <v>21</v>
      </c>
      <c r="AC11" s="85">
        <f>AD11+AE11</f>
        <v>12700.218784645269</v>
      </c>
      <c r="AD11" s="85">
        <f aca="true" t="shared" si="13" ref="AD11:AD19">AF11*AG11</f>
        <v>11650.883858900985</v>
      </c>
      <c r="AE11" s="53">
        <f t="shared" si="10"/>
        <v>1049.3349257442837</v>
      </c>
      <c r="AF11" s="85">
        <f>(O11+R11+U11)</f>
        <v>554.8039932809993</v>
      </c>
      <c r="AG11" s="84">
        <v>21</v>
      </c>
      <c r="AH11" s="84">
        <v>2.75</v>
      </c>
      <c r="AI11" s="36">
        <v>0</v>
      </c>
      <c r="AJ11" s="32">
        <v>2803.566595499995</v>
      </c>
      <c r="AK11" s="62">
        <v>0.666</v>
      </c>
      <c r="AL11" s="78">
        <v>0.3406</v>
      </c>
      <c r="AM11" s="96">
        <v>0.91</v>
      </c>
      <c r="AN11" s="84">
        <f>28*24</f>
        <v>672</v>
      </c>
      <c r="AO11" s="84">
        <f>28*24</f>
        <v>672</v>
      </c>
      <c r="AP11" s="84">
        <f>28*24</f>
        <v>672</v>
      </c>
      <c r="AQ11" s="84">
        <f>28*24</f>
        <v>672</v>
      </c>
      <c r="AR11" s="135">
        <v>45</v>
      </c>
      <c r="AS11" s="135">
        <v>60</v>
      </c>
      <c r="AT11" s="136">
        <v>0.75</v>
      </c>
      <c r="AU11" s="136">
        <v>0.45</v>
      </c>
      <c r="AV11" s="34">
        <f>(AT11*AR11*AN11+((AO11-AN11)*(AS11-AR11)*AU11))</f>
        <v>22680</v>
      </c>
      <c r="AW11" s="34">
        <f>(AT11*AR11*AP11+((AQ11-AP11)*(AS11-AR11)*AU11))</f>
        <v>22680</v>
      </c>
    </row>
    <row r="12" spans="1:49" ht="12.75">
      <c r="A12" s="23">
        <v>40238</v>
      </c>
      <c r="B12" s="32">
        <v>252250.8795000004</v>
      </c>
      <c r="C12" s="32">
        <v>226386.6119999991</v>
      </c>
      <c r="D12" s="32">
        <v>255636.00000000087</v>
      </c>
      <c r="E12" s="32">
        <v>234213.3000000005</v>
      </c>
      <c r="F12" s="87">
        <v>43.588918938053176</v>
      </c>
      <c r="G12" s="85">
        <f t="shared" si="0"/>
        <v>14701.750244987456</v>
      </c>
      <c r="H12" s="85">
        <f aca="true" t="shared" si="14" ref="H12:H17">I12+J12+K12</f>
        <v>2361.418334637714</v>
      </c>
      <c r="I12" s="92">
        <f t="shared" si="1"/>
        <v>33.44652</v>
      </c>
      <c r="J12" s="85">
        <f t="shared" si="6"/>
        <v>2063.8363122929472</v>
      </c>
      <c r="K12" s="7">
        <f t="shared" si="7"/>
        <v>264.1355023447669</v>
      </c>
      <c r="L12" s="105">
        <f t="shared" si="2"/>
        <v>50.22</v>
      </c>
      <c r="M12" s="61">
        <v>0.666</v>
      </c>
      <c r="N12" s="34">
        <f t="shared" si="8"/>
        <v>478.6374914999995</v>
      </c>
      <c r="O12" s="53">
        <f t="shared" si="11"/>
        <v>489.8493000000014</v>
      </c>
      <c r="P12" s="59">
        <f t="shared" si="12"/>
        <v>0.9771117188490381</v>
      </c>
      <c r="Q12" s="36">
        <v>0</v>
      </c>
      <c r="R12" s="36">
        <v>0</v>
      </c>
      <c r="S12" s="66">
        <v>0.995</v>
      </c>
      <c r="T12" s="53">
        <f t="shared" si="9"/>
        <v>271.8484402428904</v>
      </c>
      <c r="U12" s="32">
        <v>273.21451280692503</v>
      </c>
      <c r="V12" s="17">
        <v>0.995</v>
      </c>
      <c r="W12" s="16">
        <v>2.75</v>
      </c>
      <c r="X12">
        <v>0</v>
      </c>
      <c r="Y12" s="76">
        <f t="shared" si="3"/>
        <v>0.4358891893805318</v>
      </c>
      <c r="Z12" s="15">
        <v>0</v>
      </c>
      <c r="AA12">
        <f t="shared" si="4"/>
        <v>0</v>
      </c>
      <c r="AB12" s="16">
        <v>21</v>
      </c>
      <c r="AC12" s="85">
        <f aca="true" t="shared" si="15" ref="AC12:AC19">AD12+AE12</f>
        <v>17063.16857962517</v>
      </c>
      <c r="AD12" s="85">
        <f t="shared" si="13"/>
        <v>16024.340068945456</v>
      </c>
      <c r="AE12" s="53">
        <f t="shared" si="10"/>
        <v>1038.8285106797123</v>
      </c>
      <c r="AF12" s="85">
        <f aca="true" t="shared" si="16" ref="AF12:AF17">(O12+R12+U12)</f>
        <v>763.0638128069264</v>
      </c>
      <c r="AG12" s="84">
        <v>21</v>
      </c>
      <c r="AH12" s="84">
        <v>2.75</v>
      </c>
      <c r="AI12" s="36">
        <v>0</v>
      </c>
      <c r="AJ12" s="32">
        <v>2775.4960208999946</v>
      </c>
      <c r="AK12" s="62">
        <v>0.666</v>
      </c>
      <c r="AL12" s="78">
        <v>0.3406</v>
      </c>
      <c r="AM12" s="96">
        <v>0.91</v>
      </c>
      <c r="AN12" s="84">
        <f>31*24</f>
        <v>744</v>
      </c>
      <c r="AO12" s="84">
        <f>31*24</f>
        <v>744</v>
      </c>
      <c r="AP12" s="84">
        <f>31*24</f>
        <v>744</v>
      </c>
      <c r="AQ12" s="84">
        <f>31*24</f>
        <v>744</v>
      </c>
      <c r="AR12" s="135">
        <v>45</v>
      </c>
      <c r="AS12" s="135">
        <v>60</v>
      </c>
      <c r="AT12" s="136">
        <v>0.75</v>
      </c>
      <c r="AU12" s="136">
        <v>0.45</v>
      </c>
      <c r="AV12" s="34">
        <f>(AT12*AR12*AN12+((AO12-AN12)*(AS12-AR12)*AU12))</f>
        <v>25110</v>
      </c>
      <c r="AW12" s="34">
        <f>(AT12*AR12*AP12+((AQ12-AP12)*(AS12-AR12)*AU12))</f>
        <v>25110</v>
      </c>
    </row>
    <row r="13" spans="1:49" ht="12.75">
      <c r="A13" s="23">
        <v>40269</v>
      </c>
      <c r="B13" s="32">
        <v>228803.8455000002</v>
      </c>
      <c r="C13" s="32">
        <v>206567.85150000156</v>
      </c>
      <c r="D13" s="32">
        <v>233498.7</v>
      </c>
      <c r="E13" s="32">
        <v>209039.4000000009</v>
      </c>
      <c r="F13" s="87">
        <v>40.70457747543435</v>
      </c>
      <c r="G13" s="85">
        <f t="shared" si="0"/>
        <v>13572.47255065278</v>
      </c>
      <c r="H13" s="85">
        <f t="shared" si="14"/>
        <v>2102.454085506454</v>
      </c>
      <c r="I13" s="92">
        <f t="shared" si="1"/>
        <v>32.3676</v>
      </c>
      <c r="J13" s="85">
        <f t="shared" si="6"/>
        <v>1892.898283886348</v>
      </c>
      <c r="K13" s="7">
        <f t="shared" si="7"/>
        <v>177.1882016201056</v>
      </c>
      <c r="L13" s="105">
        <f t="shared" si="2"/>
        <v>48.6</v>
      </c>
      <c r="M13" s="61">
        <v>0.666</v>
      </c>
      <c r="N13" s="34">
        <f t="shared" si="8"/>
        <v>435.3716970000018</v>
      </c>
      <c r="O13" s="53">
        <f t="shared" si="11"/>
        <v>442.5381000000009</v>
      </c>
      <c r="P13" s="59">
        <f t="shared" si="12"/>
        <v>0.9838061333024228</v>
      </c>
      <c r="Q13" s="36">
        <v>0</v>
      </c>
      <c r="R13" s="36">
        <v>0</v>
      </c>
      <c r="S13" s="66">
        <v>0.995</v>
      </c>
      <c r="T13" s="53">
        <f t="shared" si="9"/>
        <v>252.95495168594297</v>
      </c>
      <c r="U13" s="32">
        <v>254.2260820964251</v>
      </c>
      <c r="V13" s="17">
        <v>0.995</v>
      </c>
      <c r="W13" s="16">
        <v>2.75</v>
      </c>
      <c r="X13">
        <v>0</v>
      </c>
      <c r="Y13" s="76">
        <f t="shared" si="3"/>
        <v>0.4070457747543435</v>
      </c>
      <c r="Z13" s="15">
        <v>0</v>
      </c>
      <c r="AA13">
        <f t="shared" si="4"/>
        <v>0</v>
      </c>
      <c r="AB13" s="16">
        <v>21</v>
      </c>
      <c r="AC13" s="85">
        <f t="shared" si="15"/>
        <v>15674.926636159233</v>
      </c>
      <c r="AD13" s="85">
        <f t="shared" si="13"/>
        <v>14632.047824024947</v>
      </c>
      <c r="AE13" s="53">
        <f t="shared" si="10"/>
        <v>1042.878812134286</v>
      </c>
      <c r="AF13" s="85">
        <f t="shared" si="16"/>
        <v>696.764182096426</v>
      </c>
      <c r="AG13" s="84">
        <v>21</v>
      </c>
      <c r="AH13" s="84">
        <v>2.75</v>
      </c>
      <c r="AI13" s="36">
        <v>0</v>
      </c>
      <c r="AJ13" s="32">
        <v>2786.3174370000006</v>
      </c>
      <c r="AK13" s="62">
        <v>0.666</v>
      </c>
      <c r="AL13" s="78">
        <v>0.3406</v>
      </c>
      <c r="AM13" s="96">
        <v>0.91</v>
      </c>
      <c r="AN13" s="84">
        <f>30*24</f>
        <v>720</v>
      </c>
      <c r="AO13" s="84">
        <f>30*24</f>
        <v>720</v>
      </c>
      <c r="AP13" s="84">
        <f>30*24</f>
        <v>720</v>
      </c>
      <c r="AQ13" s="84">
        <f>30*24</f>
        <v>720</v>
      </c>
      <c r="AR13" s="135">
        <v>45</v>
      </c>
      <c r="AS13" s="135">
        <v>60</v>
      </c>
      <c r="AT13" s="136">
        <v>0.75</v>
      </c>
      <c r="AU13" s="136">
        <v>0.45</v>
      </c>
      <c r="AV13" s="34">
        <f>(AT13*AR13*AN13+((AO13-AN13)*(AS13-AR13)*AU13))</f>
        <v>24300</v>
      </c>
      <c r="AW13" s="34">
        <f>(AT13*AR13*AP13+((AQ13-AP13)*(AS13-AR13)*AU13))</f>
        <v>24300</v>
      </c>
    </row>
    <row r="14" spans="1:49" ht="12.75">
      <c r="A14" s="23">
        <v>40299</v>
      </c>
      <c r="B14" s="32">
        <v>211205.37150000074</v>
      </c>
      <c r="C14" s="32">
        <v>212667.84899999984</v>
      </c>
      <c r="D14" s="32">
        <v>224927.09999999937</v>
      </c>
      <c r="E14" s="32">
        <v>214581.60000000053</v>
      </c>
      <c r="F14" s="87">
        <v>38.728767680339224</v>
      </c>
      <c r="G14" s="85">
        <f>AC14-H14</f>
        <v>10229.08608800823</v>
      </c>
      <c r="H14" s="85">
        <f t="shared" si="14"/>
        <v>1825.9939967473163</v>
      </c>
      <c r="I14" s="92">
        <f t="shared" si="1"/>
        <v>7.772220000000001</v>
      </c>
      <c r="J14" s="85">
        <f t="shared" si="6"/>
        <v>1477.894776110825</v>
      </c>
      <c r="K14" s="7">
        <f t="shared" si="7"/>
        <v>340.32700063649116</v>
      </c>
      <c r="L14" s="105">
        <f t="shared" si="2"/>
        <v>11.67</v>
      </c>
      <c r="M14" s="61">
        <v>0.666</v>
      </c>
      <c r="N14" s="34">
        <f t="shared" si="8"/>
        <v>423.87322050000057</v>
      </c>
      <c r="O14" s="53">
        <f>(D14+E14)/1000</f>
        <v>439.5086999999999</v>
      </c>
      <c r="P14" s="59">
        <f t="shared" si="12"/>
        <v>0.9644250967045719</v>
      </c>
      <c r="Q14" s="36">
        <v>0</v>
      </c>
      <c r="R14" s="36">
        <v>0</v>
      </c>
      <c r="S14" s="66">
        <v>0.995</v>
      </c>
      <c r="T14" s="53">
        <f t="shared" si="9"/>
        <v>113.54306172211757</v>
      </c>
      <c r="U14" s="32">
        <v>114.11362987147494</v>
      </c>
      <c r="V14" s="17">
        <v>0.995</v>
      </c>
      <c r="W14" s="16">
        <v>2.75</v>
      </c>
      <c r="X14">
        <v>0</v>
      </c>
      <c r="Y14" s="76">
        <f t="shared" si="3"/>
        <v>0.38728767680339227</v>
      </c>
      <c r="Z14" s="15">
        <v>0</v>
      </c>
      <c r="AA14">
        <f t="shared" si="4"/>
        <v>0</v>
      </c>
      <c r="AB14" s="16">
        <v>21</v>
      </c>
      <c r="AC14" s="85">
        <f t="shared" si="15"/>
        <v>12055.080084755546</v>
      </c>
      <c r="AD14" s="85">
        <f t="shared" si="13"/>
        <v>11626.068927300974</v>
      </c>
      <c r="AE14" s="53">
        <f t="shared" si="10"/>
        <v>429.01115745457196</v>
      </c>
      <c r="AF14" s="85">
        <f t="shared" si="16"/>
        <v>553.6223298714749</v>
      </c>
      <c r="AG14" s="84">
        <v>21</v>
      </c>
      <c r="AH14" s="84">
        <v>2.75</v>
      </c>
      <c r="AI14" s="36">
        <v>0</v>
      </c>
      <c r="AJ14" s="32">
        <v>1146.2130161000014</v>
      </c>
      <c r="AK14" s="62">
        <v>0.666</v>
      </c>
      <c r="AL14" s="78">
        <v>0.3406</v>
      </c>
      <c r="AM14" s="96">
        <v>0.91</v>
      </c>
      <c r="AN14" s="84"/>
      <c r="AO14" s="84"/>
      <c r="AP14" s="84"/>
      <c r="AQ14" s="84"/>
      <c r="AR14" s="135"/>
      <c r="AS14" s="135"/>
      <c r="AT14" s="136"/>
      <c r="AU14" s="136"/>
      <c r="AV14" s="138">
        <v>5982</v>
      </c>
      <c r="AW14" s="32">
        <v>5688</v>
      </c>
    </row>
    <row r="15" spans="1:49" ht="12.75">
      <c r="A15" s="23">
        <v>40330</v>
      </c>
      <c r="B15" s="32">
        <v>192972.5189999987</v>
      </c>
      <c r="C15" s="32">
        <v>204642.49500000005</v>
      </c>
      <c r="D15" s="32">
        <v>198032.4</v>
      </c>
      <c r="E15" s="32">
        <v>206227.8000000034</v>
      </c>
      <c r="F15" s="87">
        <v>33.41010151036171</v>
      </c>
      <c r="G15" s="85">
        <f t="shared" si="0"/>
        <v>7248.442045499976</v>
      </c>
      <c r="H15" s="85">
        <f t="shared" si="14"/>
        <v>1241.022154500095</v>
      </c>
      <c r="I15" s="92">
        <f t="shared" si="1"/>
        <v>8.031960000000002</v>
      </c>
      <c r="J15" s="85">
        <f t="shared" si="6"/>
        <v>1093.4412884999965</v>
      </c>
      <c r="K15" s="7">
        <f t="shared" si="7"/>
        <v>139.54890600009838</v>
      </c>
      <c r="L15" s="105">
        <f t="shared" si="2"/>
        <v>12.06</v>
      </c>
      <c r="M15" s="61">
        <v>0.666</v>
      </c>
      <c r="N15" s="34">
        <f t="shared" si="8"/>
        <v>397.6150139999987</v>
      </c>
      <c r="O15" s="53">
        <f t="shared" si="11"/>
        <v>404.2602000000034</v>
      </c>
      <c r="P15" s="59">
        <f t="shared" si="12"/>
        <v>0.9835621067817099</v>
      </c>
      <c r="Q15" s="36">
        <v>0</v>
      </c>
      <c r="R15" s="36">
        <v>0</v>
      </c>
      <c r="S15" s="66">
        <v>0.995</v>
      </c>
      <c r="T15" s="53">
        <f t="shared" si="9"/>
        <v>0</v>
      </c>
      <c r="U15" s="32"/>
      <c r="V15" s="17">
        <v>0.995</v>
      </c>
      <c r="W15" s="16">
        <v>2.75</v>
      </c>
      <c r="X15">
        <v>0</v>
      </c>
      <c r="Y15" s="76">
        <f t="shared" si="3"/>
        <v>0.3341010151036171</v>
      </c>
      <c r="Z15" s="15">
        <v>0</v>
      </c>
      <c r="AA15">
        <f t="shared" si="4"/>
        <v>0</v>
      </c>
      <c r="AB15" s="16">
        <v>21</v>
      </c>
      <c r="AC15" s="85">
        <f t="shared" si="15"/>
        <v>8489.464200000071</v>
      </c>
      <c r="AD15" s="85">
        <f t="shared" si="13"/>
        <v>8489.464200000071</v>
      </c>
      <c r="AE15" s="53">
        <f t="shared" si="10"/>
        <v>0</v>
      </c>
      <c r="AF15" s="85">
        <f t="shared" si="16"/>
        <v>404.2602000000034</v>
      </c>
      <c r="AG15" s="84">
        <v>21</v>
      </c>
      <c r="AH15" s="84">
        <v>2.75</v>
      </c>
      <c r="AI15" s="36">
        <v>0</v>
      </c>
      <c r="AJ15" s="32"/>
      <c r="AK15" s="62">
        <v>0.666</v>
      </c>
      <c r="AL15" s="78">
        <v>0.3406</v>
      </c>
      <c r="AM15" s="96">
        <v>0.91</v>
      </c>
      <c r="AN15" s="84"/>
      <c r="AO15" s="84"/>
      <c r="AP15" s="84"/>
      <c r="AQ15" s="84"/>
      <c r="AR15" s="84"/>
      <c r="AS15" s="84"/>
      <c r="AT15" s="96"/>
      <c r="AU15" s="96"/>
      <c r="AV15" s="32">
        <v>5760</v>
      </c>
      <c r="AW15" s="32">
        <v>6300</v>
      </c>
    </row>
    <row r="16" spans="1:49" ht="12.75">
      <c r="A16" s="23">
        <v>40360</v>
      </c>
      <c r="B16" s="32">
        <v>140655.49199999863</v>
      </c>
      <c r="C16" s="32">
        <v>109317.00149999991</v>
      </c>
      <c r="D16" s="32">
        <v>147292.2</v>
      </c>
      <c r="E16" s="32">
        <v>115624.8</v>
      </c>
      <c r="F16" s="87">
        <v>30.41193601806548</v>
      </c>
      <c r="G16" s="85">
        <f>AC16-H16</f>
        <v>4907.312308034333</v>
      </c>
      <c r="H16" s="85">
        <f t="shared" si="14"/>
        <v>1013.858329134059</v>
      </c>
      <c r="I16" s="92">
        <f t="shared" si="1"/>
        <v>6.2537400000000005</v>
      </c>
      <c r="J16" s="85">
        <f t="shared" si="6"/>
        <v>733.9833138206725</v>
      </c>
      <c r="K16" s="7">
        <f t="shared" si="7"/>
        <v>273.62127531338643</v>
      </c>
      <c r="L16" s="105">
        <f t="shared" si="2"/>
        <v>9.39</v>
      </c>
      <c r="M16" s="61">
        <v>0.666</v>
      </c>
      <c r="N16" s="34">
        <f t="shared" si="8"/>
        <v>249.97249349999854</v>
      </c>
      <c r="O16" s="53">
        <f t="shared" si="11"/>
        <v>262.917</v>
      </c>
      <c r="P16" s="59">
        <f t="shared" si="12"/>
        <v>0.950765806319099</v>
      </c>
      <c r="Q16" s="36">
        <v>0</v>
      </c>
      <c r="R16" s="36">
        <v>0</v>
      </c>
      <c r="S16" s="66">
        <v>0.995</v>
      </c>
      <c r="T16" s="53">
        <f t="shared" si="9"/>
        <v>16.93052970751875</v>
      </c>
      <c r="U16" s="32">
        <v>17.01560774625</v>
      </c>
      <c r="V16" s="17">
        <v>0.995</v>
      </c>
      <c r="W16" s="16">
        <v>2.75</v>
      </c>
      <c r="X16">
        <v>0</v>
      </c>
      <c r="Y16" s="76">
        <f t="shared" si="3"/>
        <v>0.3041193601806548</v>
      </c>
      <c r="Z16" s="15">
        <v>0</v>
      </c>
      <c r="AA16">
        <f>IF(Y16,Z16/Y16,0)</f>
        <v>0</v>
      </c>
      <c r="AB16" s="16">
        <v>21</v>
      </c>
      <c r="AC16" s="85">
        <f t="shared" si="15"/>
        <v>5921.170637168392</v>
      </c>
      <c r="AD16" s="85">
        <f t="shared" si="13"/>
        <v>5878.584762671249</v>
      </c>
      <c r="AE16" s="53">
        <f t="shared" si="10"/>
        <v>42.58587449714287</v>
      </c>
      <c r="AF16" s="85">
        <f t="shared" si="16"/>
        <v>279.93260774624997</v>
      </c>
      <c r="AG16" s="84">
        <v>21</v>
      </c>
      <c r="AH16" s="84">
        <v>2.75</v>
      </c>
      <c r="AI16" s="36">
        <v>0</v>
      </c>
      <c r="AJ16" s="32">
        <v>113.77905400000003</v>
      </c>
      <c r="AK16" s="62">
        <v>0.666</v>
      </c>
      <c r="AL16" s="78">
        <v>0.3406</v>
      </c>
      <c r="AM16" s="96">
        <v>0.91</v>
      </c>
      <c r="AN16" s="84"/>
      <c r="AO16" s="84"/>
      <c r="AP16" s="84"/>
      <c r="AQ16" s="84"/>
      <c r="AR16" s="84"/>
      <c r="AS16" s="84"/>
      <c r="AT16" s="96"/>
      <c r="AU16" s="96"/>
      <c r="AV16" s="32">
        <v>5190</v>
      </c>
      <c r="AW16" s="32">
        <v>4200</v>
      </c>
    </row>
    <row r="17" spans="1:49" ht="12.75">
      <c r="A17" s="23">
        <v>40391</v>
      </c>
      <c r="B17" s="32">
        <v>219645.1259999997</v>
      </c>
      <c r="C17" s="32">
        <v>261907.8525000005</v>
      </c>
      <c r="D17" s="32">
        <v>241811.10000000065</v>
      </c>
      <c r="E17" s="32">
        <v>263761.1999999986</v>
      </c>
      <c r="F17" s="87">
        <v>44.16945993862934</v>
      </c>
      <c r="G17" s="85">
        <f>AC17-H17</f>
        <v>8778.851357625002</v>
      </c>
      <c r="H17" s="85">
        <f t="shared" si="14"/>
        <v>1838.1669423749802</v>
      </c>
      <c r="I17" s="92">
        <f t="shared" si="1"/>
        <v>9.4905</v>
      </c>
      <c r="J17" s="85">
        <f t="shared" si="6"/>
        <v>1324.2706908750006</v>
      </c>
      <c r="K17" s="7">
        <f t="shared" si="7"/>
        <v>504.4057514999795</v>
      </c>
      <c r="L17" s="105">
        <f t="shared" si="2"/>
        <v>14.25</v>
      </c>
      <c r="M17" s="61">
        <v>0.666</v>
      </c>
      <c r="N17" s="34">
        <f t="shared" si="8"/>
        <v>481.5529785000002</v>
      </c>
      <c r="O17" s="53">
        <f t="shared" si="11"/>
        <v>505.57229999999925</v>
      </c>
      <c r="P17" s="59">
        <f t="shared" si="12"/>
        <v>0.9524908277213782</v>
      </c>
      <c r="Q17" s="36">
        <v>0</v>
      </c>
      <c r="R17" s="36">
        <v>0</v>
      </c>
      <c r="S17" s="66">
        <v>0.995</v>
      </c>
      <c r="T17" s="53">
        <f t="shared" si="9"/>
        <v>0</v>
      </c>
      <c r="U17" s="32"/>
      <c r="V17" s="17">
        <v>0.995</v>
      </c>
      <c r="W17" s="16">
        <v>2.75</v>
      </c>
      <c r="X17">
        <v>0</v>
      </c>
      <c r="Y17" s="76">
        <f t="shared" si="3"/>
        <v>0.44169459938629335</v>
      </c>
      <c r="Z17" s="15">
        <v>0</v>
      </c>
      <c r="AA17">
        <v>0</v>
      </c>
      <c r="AB17" s="16">
        <v>21</v>
      </c>
      <c r="AC17" s="85">
        <f t="shared" si="15"/>
        <v>10617.018299999983</v>
      </c>
      <c r="AD17" s="85">
        <f t="shared" si="13"/>
        <v>10617.018299999983</v>
      </c>
      <c r="AE17" s="53">
        <f t="shared" si="10"/>
        <v>0</v>
      </c>
      <c r="AF17" s="85">
        <f t="shared" si="16"/>
        <v>505.57229999999925</v>
      </c>
      <c r="AG17" s="84">
        <v>21</v>
      </c>
      <c r="AH17" s="84">
        <v>2.75</v>
      </c>
      <c r="AI17" s="36">
        <v>0</v>
      </c>
      <c r="AJ17" s="32"/>
      <c r="AK17" s="62">
        <v>0.666</v>
      </c>
      <c r="AL17" s="78">
        <v>0.3406</v>
      </c>
      <c r="AM17" s="96">
        <v>0.91</v>
      </c>
      <c r="AN17" s="84"/>
      <c r="AO17" s="84"/>
      <c r="AP17" s="84"/>
      <c r="AQ17" s="84"/>
      <c r="AR17" s="84"/>
      <c r="AS17" s="84"/>
      <c r="AT17" s="96"/>
      <c r="AU17" s="96"/>
      <c r="AV17" s="32">
        <v>6210</v>
      </c>
      <c r="AW17" s="32">
        <v>8040</v>
      </c>
    </row>
    <row r="18" spans="1:49" ht="12.75">
      <c r="A18" s="23">
        <v>40422</v>
      </c>
      <c r="B18" s="32">
        <v>233375.48549999975</v>
      </c>
      <c r="C18" s="32">
        <v>244283.24699999977</v>
      </c>
      <c r="D18" s="32">
        <v>240403.5</v>
      </c>
      <c r="E18" s="32">
        <v>245754.9</v>
      </c>
      <c r="F18" s="87">
        <v>40.68678701015951</v>
      </c>
      <c r="G18" s="85">
        <f>AC18-H18</f>
        <v>8719.96763707058</v>
      </c>
      <c r="H18" s="85">
        <f>I18+J18+K18</f>
        <v>1502.2388336735294</v>
      </c>
      <c r="I18" s="92">
        <f t="shared" si="1"/>
        <v>8.691300000000002</v>
      </c>
      <c r="J18" s="85">
        <f t="shared" si="6"/>
        <v>1314.9993414480127</v>
      </c>
      <c r="K18" s="7">
        <f t="shared" si="7"/>
        <v>178.54819222551671</v>
      </c>
      <c r="L18" s="105">
        <f t="shared" si="2"/>
        <v>13.05</v>
      </c>
      <c r="M18" s="61">
        <v>0.666</v>
      </c>
      <c r="N18" s="34">
        <f t="shared" si="8"/>
        <v>477.65873249999953</v>
      </c>
      <c r="O18" s="53">
        <f t="shared" si="11"/>
        <v>486.15840000000003</v>
      </c>
      <c r="P18" s="59">
        <f t="shared" si="12"/>
        <v>0.9825166704925792</v>
      </c>
      <c r="Q18" s="36">
        <v>0</v>
      </c>
      <c r="R18" s="36">
        <v>0</v>
      </c>
      <c r="S18" s="66">
        <v>0.995</v>
      </c>
      <c r="T18" s="53">
        <f t="shared" si="9"/>
        <v>0.52284620836875</v>
      </c>
      <c r="U18" s="32">
        <v>0.5254735762499999</v>
      </c>
      <c r="V18" s="17">
        <v>0.995</v>
      </c>
      <c r="W18" s="16">
        <v>2.75</v>
      </c>
      <c r="X18">
        <v>0</v>
      </c>
      <c r="Y18" s="76">
        <f t="shared" si="3"/>
        <v>0.40686787010159514</v>
      </c>
      <c r="Z18" s="15">
        <v>0</v>
      </c>
      <c r="AA18">
        <v>0</v>
      </c>
      <c r="AB18" s="16">
        <v>21</v>
      </c>
      <c r="AC18" s="85">
        <f t="shared" si="15"/>
        <v>10222.20647074411</v>
      </c>
      <c r="AD18" s="85">
        <f t="shared" si="13"/>
        <v>10220.361345101252</v>
      </c>
      <c r="AE18" s="53">
        <f t="shared" si="10"/>
        <v>1.8451256428571425</v>
      </c>
      <c r="AF18" s="85">
        <f>(O18+R18+U18)</f>
        <v>486.68387357625005</v>
      </c>
      <c r="AG18" s="84">
        <v>21</v>
      </c>
      <c r="AH18" s="84">
        <v>2.75</v>
      </c>
      <c r="AI18" s="36">
        <v>0</v>
      </c>
      <c r="AJ18" s="32">
        <v>4.9297249999999995</v>
      </c>
      <c r="AK18" s="62">
        <v>0.666</v>
      </c>
      <c r="AL18" s="78">
        <v>0.3406</v>
      </c>
      <c r="AM18" s="96">
        <v>0.91</v>
      </c>
      <c r="AN18" s="84"/>
      <c r="AO18" s="84"/>
      <c r="AP18" s="84"/>
      <c r="AQ18" s="84"/>
      <c r="AR18" s="84"/>
      <c r="AS18" s="84"/>
      <c r="AT18" s="96"/>
      <c r="AU18" s="96"/>
      <c r="AV18" s="32">
        <v>5970</v>
      </c>
      <c r="AW18" s="32">
        <v>7080</v>
      </c>
    </row>
    <row r="19" spans="1:49" ht="12.75">
      <c r="A19" s="23">
        <v>40452</v>
      </c>
      <c r="B19" s="32">
        <v>212965.8345000004</v>
      </c>
      <c r="C19" s="32">
        <v>215151.35399999964</v>
      </c>
      <c r="D19" s="32">
        <v>234682.19999999928</v>
      </c>
      <c r="E19" s="32">
        <v>218118.59999999937</v>
      </c>
      <c r="F19" s="87">
        <v>38.592287296897894</v>
      </c>
      <c r="G19" s="85">
        <f>AC19-H19</f>
        <v>9068.773725827657</v>
      </c>
      <c r="H19" s="85">
        <f>I19+J19+K19</f>
        <v>1873.3000270501698</v>
      </c>
      <c r="I19" s="92">
        <f>L19*M19</f>
        <v>7.812180000000001</v>
      </c>
      <c r="J19" s="85">
        <f t="shared" si="6"/>
        <v>1340.856590713984</v>
      </c>
      <c r="K19" s="7">
        <f t="shared" si="7"/>
        <v>524.631256336186</v>
      </c>
      <c r="L19" s="105">
        <f>(AV19+AW19)/1000</f>
        <v>11.73</v>
      </c>
      <c r="M19" s="61">
        <v>0.666</v>
      </c>
      <c r="N19" s="34">
        <f t="shared" si="8"/>
        <v>428.11718850000005</v>
      </c>
      <c r="O19" s="53">
        <f t="shared" si="11"/>
        <v>452.8007999999987</v>
      </c>
      <c r="P19" s="59">
        <f t="shared" si="12"/>
        <v>0.9454868200321229</v>
      </c>
      <c r="Q19" s="36">
        <v>0</v>
      </c>
      <c r="R19" s="36">
        <v>0</v>
      </c>
      <c r="S19" s="66">
        <v>0.995</v>
      </c>
      <c r="T19" s="53">
        <f>U19*V$10</f>
        <v>59.46702630508495</v>
      </c>
      <c r="U19" s="32">
        <v>59.76585558299995</v>
      </c>
      <c r="V19" s="17">
        <v>0.995</v>
      </c>
      <c r="W19" s="16">
        <v>2.75</v>
      </c>
      <c r="X19">
        <v>0</v>
      </c>
      <c r="Y19" s="76">
        <f t="shared" si="3"/>
        <v>0.3859228729689789</v>
      </c>
      <c r="Z19" s="15">
        <v>0</v>
      </c>
      <c r="AA19">
        <v>0</v>
      </c>
      <c r="AB19" s="16">
        <v>21</v>
      </c>
      <c r="AC19" s="85">
        <f t="shared" si="15"/>
        <v>10942.073752877828</v>
      </c>
      <c r="AD19" s="85">
        <f t="shared" si="13"/>
        <v>10763.89976724297</v>
      </c>
      <c r="AE19" s="53">
        <f t="shared" si="10"/>
        <v>178.17398563485716</v>
      </c>
      <c r="AF19" s="85">
        <f>(O19+R19+U19)</f>
        <v>512.5666555829986</v>
      </c>
      <c r="AG19" s="84">
        <v>21</v>
      </c>
      <c r="AH19" s="84">
        <v>2.75</v>
      </c>
      <c r="AI19" s="36">
        <v>0</v>
      </c>
      <c r="AJ19" s="32">
        <v>476.0373662</v>
      </c>
      <c r="AK19" s="62">
        <v>0.666</v>
      </c>
      <c r="AL19" s="78">
        <v>0.3406</v>
      </c>
      <c r="AM19" s="96">
        <v>0.91</v>
      </c>
      <c r="AN19" s="84"/>
      <c r="AO19" s="84"/>
      <c r="AP19" s="84"/>
      <c r="AQ19" s="84"/>
      <c r="AR19" s="84"/>
      <c r="AS19" s="84"/>
      <c r="AT19" s="96"/>
      <c r="AU19" s="96"/>
      <c r="AV19" s="32">
        <v>5790</v>
      </c>
      <c r="AW19" s="32">
        <v>5940</v>
      </c>
    </row>
    <row r="20" spans="1:49" ht="12.75">
      <c r="A20" s="23"/>
      <c r="B20" s="32"/>
      <c r="C20" s="32"/>
      <c r="D20" s="32"/>
      <c r="E20" s="32"/>
      <c r="F20" s="87"/>
      <c r="G20" s="85"/>
      <c r="H20" s="85"/>
      <c r="I20" s="92"/>
      <c r="J20" s="85"/>
      <c r="K20" s="7"/>
      <c r="L20" s="105"/>
      <c r="M20" s="61"/>
      <c r="N20" s="34"/>
      <c r="O20" s="53"/>
      <c r="P20" s="59"/>
      <c r="Q20" s="36"/>
      <c r="R20" s="36"/>
      <c r="S20" s="66"/>
      <c r="T20" s="53"/>
      <c r="U20" s="15"/>
      <c r="V20" s="17"/>
      <c r="W20" s="16"/>
      <c r="Y20" s="76"/>
      <c r="Z20" s="15"/>
      <c r="AB20" s="16"/>
      <c r="AC20" s="85"/>
      <c r="AD20" s="85"/>
      <c r="AE20" s="53"/>
      <c r="AF20" s="85"/>
      <c r="AG20" s="84"/>
      <c r="AH20" s="84"/>
      <c r="AI20" s="36"/>
      <c r="AJ20" s="53"/>
      <c r="AK20" s="62"/>
      <c r="AL20" s="78"/>
      <c r="AM20" s="96"/>
      <c r="AN20" s="84"/>
      <c r="AO20" s="84"/>
      <c r="AP20" s="84"/>
      <c r="AQ20" s="84"/>
      <c r="AR20" s="84"/>
      <c r="AS20" s="84"/>
      <c r="AT20" s="96"/>
      <c r="AU20" s="96"/>
      <c r="AV20" s="34"/>
      <c r="AW20" s="34"/>
    </row>
    <row r="21" spans="1:49" ht="13.5" thickBot="1">
      <c r="A21" s="23"/>
      <c r="B21" s="32"/>
      <c r="C21" s="33"/>
      <c r="D21" s="32"/>
      <c r="E21" s="32"/>
      <c r="F21" s="47"/>
      <c r="G21" s="95"/>
      <c r="H21" s="86"/>
      <c r="I21" s="92"/>
      <c r="J21" s="85"/>
      <c r="K21" s="7"/>
      <c r="L21" s="105"/>
      <c r="M21" s="61"/>
      <c r="N21" s="34"/>
      <c r="O21" s="53"/>
      <c r="P21" s="58"/>
      <c r="Q21" s="36"/>
      <c r="R21" s="36"/>
      <c r="S21" s="67"/>
      <c r="T21" s="53"/>
      <c r="U21" s="15"/>
      <c r="V21" s="128"/>
      <c r="W21" s="72"/>
      <c r="Y21" s="77"/>
      <c r="Z21" s="15"/>
      <c r="AB21" s="72"/>
      <c r="AC21" s="86"/>
      <c r="AD21" s="86"/>
      <c r="AE21" s="53"/>
      <c r="AF21" s="86"/>
      <c r="AG21" s="84"/>
      <c r="AH21" s="84"/>
      <c r="AI21" s="36"/>
      <c r="AJ21" s="53"/>
      <c r="AK21" s="62"/>
      <c r="AL21" s="79"/>
      <c r="AM21" s="98"/>
      <c r="AN21" s="84"/>
      <c r="AO21" s="84"/>
      <c r="AP21" s="84"/>
      <c r="AQ21" s="84"/>
      <c r="AR21" s="84"/>
      <c r="AS21" s="84"/>
      <c r="AT21" s="98"/>
      <c r="AU21" s="98"/>
      <c r="AV21" s="34"/>
      <c r="AW21" s="34"/>
    </row>
    <row r="22" spans="1:49" ht="13.5" thickBot="1">
      <c r="A22" s="29" t="s">
        <v>146</v>
      </c>
      <c r="B22" s="30">
        <f>SUM(B10:B21)</f>
        <v>2012996.0249999994</v>
      </c>
      <c r="C22" s="30">
        <f>SUM(C10:C21)</f>
        <v>1982917.3275000001</v>
      </c>
      <c r="D22" s="30">
        <f>SUM(D10:D21)</f>
        <v>2125456.1999999993</v>
      </c>
      <c r="E22" s="30">
        <f>SUM(E10:E21)</f>
        <v>2022127.2000000032</v>
      </c>
      <c r="F22" s="88">
        <f>AVERAGE(F10:F21)</f>
        <v>38.532323657556184</v>
      </c>
      <c r="G22" s="111">
        <f aca="true" t="shared" si="17" ref="G22:L22">SUM(G10:G21)</f>
        <v>95507.11454016765</v>
      </c>
      <c r="H22" s="111">
        <f t="shared" si="17"/>
        <v>17294.846745857387</v>
      </c>
      <c r="I22" s="111">
        <f t="shared" si="17"/>
        <v>177.52230000000003</v>
      </c>
      <c r="J22" s="30">
        <f t="shared" si="17"/>
        <v>13823.47504746224</v>
      </c>
      <c r="K22" s="30">
        <f t="shared" si="17"/>
        <v>3293.8493983951457</v>
      </c>
      <c r="L22" s="64">
        <f t="shared" si="17"/>
        <v>266.55</v>
      </c>
      <c r="M22" s="64">
        <v>0.666</v>
      </c>
      <c r="N22" s="30">
        <f>SUM(N10:N21)</f>
        <v>3995.9133524999997</v>
      </c>
      <c r="O22" s="111">
        <f>SUM(O10:O21)</f>
        <v>4147.583400000003</v>
      </c>
      <c r="P22" s="69">
        <f>AVERAGE(P10:P21)</f>
        <v>0.962531627357069</v>
      </c>
      <c r="Q22" s="39">
        <f>SUM(Q10:Q21)</f>
        <v>0</v>
      </c>
      <c r="R22" s="39">
        <f>SUM(R10:R21)</f>
        <v>0</v>
      </c>
      <c r="S22" s="68">
        <v>0.995</v>
      </c>
      <c r="T22" s="56">
        <f>SUM(T10:T21)</f>
        <v>1030.8048465771783</v>
      </c>
      <c r="U22" s="112">
        <f>SUM(U10:U21)</f>
        <v>1035.9847704293247</v>
      </c>
      <c r="V22" s="130">
        <v>0.995</v>
      </c>
      <c r="W22" s="74">
        <v>2.75</v>
      </c>
      <c r="X22" s="31">
        <f>SUM(X10:X21)</f>
        <v>0</v>
      </c>
      <c r="Y22" s="69">
        <f>AVERAGE(Y10:Y21)</f>
        <v>0.3853232365755618</v>
      </c>
      <c r="Z22" s="31">
        <f>SUM(Z10:Z21)</f>
        <v>0</v>
      </c>
      <c r="AA22" s="31">
        <f>SUM(AA10:AA21)</f>
        <v>0</v>
      </c>
      <c r="AB22" s="74">
        <v>21</v>
      </c>
      <c r="AC22" s="113">
        <f>SUM(AC10:AC21)</f>
        <v>112801.96128602503</v>
      </c>
      <c r="AD22" s="89">
        <f>SUM(AD10:AD21)</f>
        <v>108854.93157901589</v>
      </c>
      <c r="AE22" s="109">
        <f>SUM(AE10:AE21)</f>
        <v>3947.0297070091397</v>
      </c>
      <c r="AF22" s="89">
        <f>SUM(AF10:AF21)</f>
        <v>5183.568170429328</v>
      </c>
      <c r="AG22" s="83">
        <v>21</v>
      </c>
      <c r="AH22" s="83">
        <v>2.75</v>
      </c>
      <c r="AI22" s="39">
        <f>SUM(AI10:AI21)</f>
        <v>0</v>
      </c>
      <c r="AJ22" s="112">
        <f>SUM(AJ10:AJ21)</f>
        <v>10545.499217199993</v>
      </c>
      <c r="AK22" s="122">
        <v>0.666</v>
      </c>
      <c r="AL22" s="80">
        <v>0.3406</v>
      </c>
      <c r="AM22" s="97">
        <v>0.91</v>
      </c>
      <c r="AN22" s="83">
        <f>SUM(AN10:AN19)</f>
        <v>2880</v>
      </c>
      <c r="AO22" s="83">
        <f>SUM(AO10:AO19)</f>
        <v>2880</v>
      </c>
      <c r="AP22" s="83">
        <f>SUM(AP10:AP19)</f>
        <v>2880</v>
      </c>
      <c r="AQ22" s="83">
        <f>SUM(AQ10:AQ19)</f>
        <v>2880</v>
      </c>
      <c r="AR22" s="83">
        <v>45</v>
      </c>
      <c r="AS22" s="83">
        <v>60</v>
      </c>
      <c r="AT22" s="97">
        <v>0.75</v>
      </c>
      <c r="AU22" s="97">
        <v>0.45</v>
      </c>
      <c r="AV22" s="109">
        <f>SUM(AV10:AV19)</f>
        <v>132102</v>
      </c>
      <c r="AW22" s="109">
        <f>SUM(AW10:AW19)</f>
        <v>134448</v>
      </c>
    </row>
    <row r="23" spans="1:49" s="40" customFormat="1" ht="39" thickBot="1">
      <c r="A23" s="41" t="s">
        <v>92</v>
      </c>
      <c r="B23" s="42">
        <f>B9+B22</f>
        <v>2528522.567999998</v>
      </c>
      <c r="C23" s="42">
        <f>C9+C22</f>
        <v>2436471.913499998</v>
      </c>
      <c r="D23" s="42">
        <f>D9+D22</f>
        <v>2648726.999999997</v>
      </c>
      <c r="E23" s="42">
        <f>E9+E22</f>
        <v>2501090.1000000043</v>
      </c>
      <c r="F23" s="132">
        <f>AVERAGE(F7:F8,F10:F19)</f>
        <v>39.532313951362674</v>
      </c>
      <c r="G23" s="112">
        <f>ROUNDUP((G9+G22),1)</f>
        <v>113129</v>
      </c>
      <c r="H23" s="112">
        <f>H9+H22</f>
        <v>20719.91664160744</v>
      </c>
      <c r="I23" s="112">
        <f>I9+I22</f>
        <v>241.41510000000005</v>
      </c>
      <c r="J23" s="42">
        <f>J9+J22</f>
        <v>16488.44815221223</v>
      </c>
      <c r="K23" s="42">
        <f>K9+K22</f>
        <v>3990.0533893952083</v>
      </c>
      <c r="L23" s="94">
        <f>L9+L22</f>
        <v>360.51</v>
      </c>
      <c r="M23" s="42" t="s">
        <v>102</v>
      </c>
      <c r="N23" s="42">
        <f>N9+N22</f>
        <v>4964.994481499996</v>
      </c>
      <c r="O23" s="112">
        <f>O9+O22</f>
        <v>5149.817100000003</v>
      </c>
      <c r="P23" s="70">
        <f>AVERAGE(P7:P8,P10:P19)</f>
        <v>0.9632750244047945</v>
      </c>
      <c r="Q23" s="65">
        <f>Q9+Q22</f>
        <v>0</v>
      </c>
      <c r="R23" s="65">
        <f>R9+R22</f>
        <v>0</v>
      </c>
      <c r="S23" s="71">
        <f>AVERAGE(S9,S22)</f>
        <v>0.995</v>
      </c>
      <c r="T23" s="56">
        <f>T9+T22</f>
        <v>1030.8048465771783</v>
      </c>
      <c r="U23" s="112">
        <f>U9+U22</f>
        <v>1035.9847704293247</v>
      </c>
      <c r="V23" s="70">
        <f>AVERAGE(V9,V22)</f>
        <v>0.995</v>
      </c>
      <c r="W23" s="75">
        <f>AVERAGE(W9,W22)</f>
        <v>2.75</v>
      </c>
      <c r="X23" s="42">
        <f>X9+X22</f>
        <v>0</v>
      </c>
      <c r="Y23" s="70">
        <f>AVERAGE(Y7:Y8,Y10:Y19)</f>
        <v>0.3953231395136267</v>
      </c>
      <c r="Z23" s="42">
        <f>Z9+Z22</f>
        <v>0</v>
      </c>
      <c r="AA23" s="42">
        <f>AA9+AA22</f>
        <v>0</v>
      </c>
      <c r="AB23" s="56">
        <v>21</v>
      </c>
      <c r="AC23" s="112">
        <f>AC9+AC22</f>
        <v>133848.86898602502</v>
      </c>
      <c r="AD23" s="42">
        <f>AD9+AD22</f>
        <v>129901.83927901587</v>
      </c>
      <c r="AE23" s="56">
        <f>AE9+AE22</f>
        <v>3947.0297070091397</v>
      </c>
      <c r="AF23" s="42">
        <f>AF9+AF22</f>
        <v>6185.801870429328</v>
      </c>
      <c r="AG23" s="99">
        <v>21</v>
      </c>
      <c r="AH23" s="99">
        <v>2.75</v>
      </c>
      <c r="AI23" s="65">
        <f>AI9+AI22</f>
        <v>0</v>
      </c>
      <c r="AJ23" s="112">
        <f>AJ9+AJ22</f>
        <v>10545.499217199993</v>
      </c>
      <c r="AK23" s="42" t="s">
        <v>102</v>
      </c>
      <c r="AL23" s="100">
        <v>0.3406</v>
      </c>
      <c r="AM23" s="101">
        <v>0.91</v>
      </c>
      <c r="AN23" s="42">
        <f>AN9+AN22</f>
        <v>4272</v>
      </c>
      <c r="AO23" s="42">
        <f>AO9+AO22</f>
        <v>4272</v>
      </c>
      <c r="AP23" s="42">
        <f>AP9+AP22</f>
        <v>4272</v>
      </c>
      <c r="AQ23" s="42">
        <f>AQ9+AQ22</f>
        <v>4272</v>
      </c>
      <c r="AR23" s="99"/>
      <c r="AS23" s="99"/>
      <c r="AT23" s="101"/>
      <c r="AU23" s="101"/>
      <c r="AV23" s="42">
        <f>AV9+AV22</f>
        <v>179082</v>
      </c>
      <c r="AW23" s="42">
        <f>AW9+AW22</f>
        <v>181428</v>
      </c>
    </row>
    <row r="24" spans="6:49" ht="12.75">
      <c r="F24" s="7"/>
      <c r="G24" s="7"/>
      <c r="H24" s="7"/>
      <c r="J24" s="7"/>
      <c r="K24" s="13"/>
      <c r="L24" s="15"/>
      <c r="M24" s="18"/>
      <c r="N24" s="15"/>
      <c r="P24" s="19"/>
      <c r="Q24" s="15"/>
      <c r="R24" s="15"/>
      <c r="S24" s="19"/>
      <c r="T24" s="7"/>
      <c r="U24" s="7"/>
      <c r="V24" s="17"/>
      <c r="W24" s="16"/>
      <c r="Y24" s="14"/>
      <c r="Z24" s="15"/>
      <c r="AB24" s="16"/>
      <c r="AC24" s="7"/>
      <c r="AD24" s="7"/>
      <c r="AE24" s="7"/>
      <c r="AF24" s="7"/>
      <c r="AJ24" s="7"/>
      <c r="AV24" s="34"/>
      <c r="AW24" s="34"/>
    </row>
    <row r="25" spans="1:36" ht="12.75">
      <c r="A25" s="91" t="s">
        <v>105</v>
      </c>
      <c r="B25" s="3"/>
      <c r="C25" s="3"/>
      <c r="D25" s="3"/>
      <c r="E25" s="3"/>
      <c r="G25" s="117"/>
      <c r="H25" s="123"/>
      <c r="I25" s="48"/>
      <c r="J25" s="48"/>
      <c r="K25" s="48"/>
      <c r="L25" s="48"/>
      <c r="N25" s="15"/>
      <c r="P25" s="19"/>
      <c r="Q25" s="15"/>
      <c r="R25" s="15"/>
      <c r="S25" s="19"/>
      <c r="T25" s="7"/>
      <c r="U25" s="7"/>
      <c r="V25" s="17"/>
      <c r="W25" s="16"/>
      <c r="Y25" s="14"/>
      <c r="Z25" s="15"/>
      <c r="AB25" s="16"/>
      <c r="AC25" s="7"/>
      <c r="AD25" s="7"/>
      <c r="AE25" s="7"/>
      <c r="AF25" s="7"/>
      <c r="AJ25" s="7"/>
    </row>
    <row r="26" spans="1:36" ht="12.75">
      <c r="A26" s="90" t="s">
        <v>106</v>
      </c>
      <c r="B26" t="s">
        <v>108</v>
      </c>
      <c r="G26" s="48"/>
      <c r="H26" s="123"/>
      <c r="I26" s="48"/>
      <c r="J26" s="48"/>
      <c r="K26" s="48"/>
      <c r="L26" s="48"/>
      <c r="N26" s="15"/>
      <c r="P26" s="19"/>
      <c r="Q26" s="15"/>
      <c r="R26" s="15"/>
      <c r="S26" s="19"/>
      <c r="T26" s="7"/>
      <c r="U26" s="7"/>
      <c r="V26" s="17"/>
      <c r="W26" s="16"/>
      <c r="Y26" s="14"/>
      <c r="Z26" s="15"/>
      <c r="AB26" s="16"/>
      <c r="AC26" s="7"/>
      <c r="AD26" s="7"/>
      <c r="AE26" s="7"/>
      <c r="AF26" s="7"/>
      <c r="AJ26" s="7"/>
    </row>
    <row r="27" spans="1:36" ht="12.75">
      <c r="A27" s="36" t="s">
        <v>107</v>
      </c>
      <c r="B27" t="s">
        <v>109</v>
      </c>
      <c r="G27" s="48"/>
      <c r="H27" s="123"/>
      <c r="I27" s="48"/>
      <c r="J27" s="48"/>
      <c r="K27" s="48"/>
      <c r="L27" s="48"/>
      <c r="N27" s="15"/>
      <c r="P27" s="19"/>
      <c r="Q27" s="15"/>
      <c r="R27" s="15"/>
      <c r="S27" s="19"/>
      <c r="T27" s="7"/>
      <c r="U27" s="7"/>
      <c r="V27" s="17"/>
      <c r="W27" s="16"/>
      <c r="Y27" s="14"/>
      <c r="Z27" s="15"/>
      <c r="AB27" s="16"/>
      <c r="AC27" s="7"/>
      <c r="AD27" s="7"/>
      <c r="AE27" s="7"/>
      <c r="AF27" s="7"/>
      <c r="AJ27" s="7"/>
    </row>
    <row r="28" spans="1:49" ht="12.75">
      <c r="A28" t="s">
        <v>110</v>
      </c>
      <c r="B28" t="s">
        <v>111</v>
      </c>
      <c r="G28" s="123"/>
      <c r="H28" s="123"/>
      <c r="I28" s="48"/>
      <c r="J28" s="123"/>
      <c r="K28" s="123"/>
      <c r="L28" s="123"/>
      <c r="M28" s="18"/>
      <c r="N28" s="15"/>
      <c r="P28" s="19"/>
      <c r="Q28" s="15"/>
      <c r="R28" s="15"/>
      <c r="S28" s="19"/>
      <c r="T28" s="7"/>
      <c r="U28" s="7"/>
      <c r="V28" s="17"/>
      <c r="W28" s="16"/>
      <c r="Y28" s="14"/>
      <c r="Z28" s="15"/>
      <c r="AB28" s="16"/>
      <c r="AC28" s="7"/>
      <c r="AD28" s="7"/>
      <c r="AE28" s="7"/>
      <c r="AF28" s="7"/>
      <c r="AJ28" s="7"/>
      <c r="AV28" s="34"/>
      <c r="AW28" s="34"/>
    </row>
    <row r="29" spans="1:49" ht="12.75">
      <c r="A29" s="115" t="s">
        <v>149</v>
      </c>
      <c r="B29" t="s">
        <v>148</v>
      </c>
      <c r="D29" s="48"/>
      <c r="E29" s="48"/>
      <c r="F29" s="48"/>
      <c r="G29" s="123"/>
      <c r="H29" s="7"/>
      <c r="J29" s="7"/>
      <c r="K29" s="13"/>
      <c r="L29" s="15"/>
      <c r="M29" s="18"/>
      <c r="N29" s="15"/>
      <c r="P29" s="19"/>
      <c r="Q29" s="15"/>
      <c r="R29" s="15"/>
      <c r="S29" s="19"/>
      <c r="T29" s="7"/>
      <c r="U29" s="7"/>
      <c r="V29" s="17"/>
      <c r="W29" s="16"/>
      <c r="Y29" s="14"/>
      <c r="Z29" s="15"/>
      <c r="AB29" s="16"/>
      <c r="AC29" s="7"/>
      <c r="AD29" s="7"/>
      <c r="AE29" s="7"/>
      <c r="AF29" s="7"/>
      <c r="AJ29" s="7"/>
      <c r="AV29" s="34"/>
      <c r="AW29" s="34"/>
    </row>
    <row r="30" spans="1:49" ht="12.75">
      <c r="A30"/>
      <c r="B30" s="106"/>
      <c r="C30" s="106"/>
      <c r="D30" s="48"/>
      <c r="E30" s="117"/>
      <c r="F30" s="124"/>
      <c r="G30" s="124"/>
      <c r="H30" s="7"/>
      <c r="J30" s="7"/>
      <c r="K30" s="13"/>
      <c r="L30" s="15"/>
      <c r="M30" s="18"/>
      <c r="N30" s="15"/>
      <c r="P30" s="19"/>
      <c r="Q30" s="15"/>
      <c r="R30" s="15"/>
      <c r="S30" s="19"/>
      <c r="T30" s="7"/>
      <c r="U30" s="7"/>
      <c r="V30" s="17"/>
      <c r="W30" s="16"/>
      <c r="Y30" s="14"/>
      <c r="Z30" s="15"/>
      <c r="AB30" s="16"/>
      <c r="AC30" s="7"/>
      <c r="AD30" s="7"/>
      <c r="AE30" s="7"/>
      <c r="AF30" s="7"/>
      <c r="AJ30" s="7"/>
      <c r="AV30" s="34"/>
      <c r="AW30" s="34"/>
    </row>
    <row r="31" spans="1:16" ht="12.75">
      <c r="A31" s="103" t="s">
        <v>124</v>
      </c>
      <c r="B31" s="3"/>
      <c r="C31" s="3"/>
      <c r="D31" s="3"/>
      <c r="E31" s="3"/>
      <c r="F31" s="124"/>
      <c r="G31" s="124"/>
      <c r="O31"/>
      <c r="P31"/>
    </row>
    <row r="32" spans="1:49" ht="12.75">
      <c r="A32" s="104" t="s">
        <v>150</v>
      </c>
      <c r="B32" s="106"/>
      <c r="C32" s="106"/>
      <c r="D32" s="48"/>
      <c r="E32" s="117"/>
      <c r="F32" s="125"/>
      <c r="G32" s="124"/>
      <c r="H32" s="7"/>
      <c r="J32" s="7"/>
      <c r="K32" s="13"/>
      <c r="L32" s="15"/>
      <c r="M32" s="18"/>
      <c r="N32" s="15"/>
      <c r="P32" s="19"/>
      <c r="Q32" s="15"/>
      <c r="R32" s="15"/>
      <c r="S32" s="19"/>
      <c r="T32" s="7"/>
      <c r="U32" s="7"/>
      <c r="V32" s="17"/>
      <c r="W32" s="16"/>
      <c r="Y32" s="14"/>
      <c r="Z32" s="15"/>
      <c r="AB32" s="16"/>
      <c r="AC32" s="7"/>
      <c r="AD32" s="7"/>
      <c r="AE32" s="7"/>
      <c r="AF32" s="7"/>
      <c r="AJ32" s="7"/>
      <c r="AV32" s="34"/>
      <c r="AW32" s="34"/>
    </row>
    <row r="33" spans="1:49" ht="12.75">
      <c r="A33" s="104" t="s">
        <v>151</v>
      </c>
      <c r="B33" s="106"/>
      <c r="C33" s="106"/>
      <c r="D33" s="48"/>
      <c r="E33" s="117"/>
      <c r="F33" s="124"/>
      <c r="G33" s="124"/>
      <c r="H33" s="7"/>
      <c r="J33" s="7"/>
      <c r="K33" s="13"/>
      <c r="L33" s="15"/>
      <c r="M33" s="18"/>
      <c r="N33" s="15"/>
      <c r="P33" s="19"/>
      <c r="Q33" s="15"/>
      <c r="R33" s="15"/>
      <c r="S33" s="19"/>
      <c r="T33" s="7"/>
      <c r="U33" s="7"/>
      <c r="V33" s="17"/>
      <c r="W33" s="16"/>
      <c r="Y33" s="14"/>
      <c r="Z33" s="15"/>
      <c r="AB33" s="16"/>
      <c r="AC33" s="7"/>
      <c r="AD33" s="7"/>
      <c r="AE33" s="7"/>
      <c r="AF33" s="7"/>
      <c r="AJ33" s="7"/>
      <c r="AV33" s="34"/>
      <c r="AW33" s="34"/>
    </row>
    <row r="34" spans="1:49" ht="12.75">
      <c r="A34" s="104" t="s">
        <v>152</v>
      </c>
      <c r="B34" s="106"/>
      <c r="C34" s="106"/>
      <c r="D34" s="48"/>
      <c r="E34" s="117"/>
      <c r="F34" s="124"/>
      <c r="G34" s="124"/>
      <c r="H34" s="7"/>
      <c r="J34" s="7"/>
      <c r="K34" s="13"/>
      <c r="L34" s="15"/>
      <c r="M34" s="18"/>
      <c r="N34" s="15"/>
      <c r="P34" s="19"/>
      <c r="Q34" s="15"/>
      <c r="R34" s="15"/>
      <c r="S34" s="19"/>
      <c r="T34" s="7"/>
      <c r="U34" s="7"/>
      <c r="V34" s="17"/>
      <c r="W34" s="16"/>
      <c r="Y34" s="14"/>
      <c r="Z34" s="15"/>
      <c r="AB34" s="16"/>
      <c r="AC34" s="7"/>
      <c r="AD34" s="7"/>
      <c r="AE34" s="7"/>
      <c r="AF34" s="7"/>
      <c r="AJ34" s="7"/>
      <c r="AV34" s="34"/>
      <c r="AW34" s="34"/>
    </row>
    <row r="35" spans="1:49" ht="12.75">
      <c r="A35"/>
      <c r="B35" s="106"/>
      <c r="C35" s="106"/>
      <c r="D35" s="48"/>
      <c r="E35" s="117"/>
      <c r="F35" s="124"/>
      <c r="G35" s="124"/>
      <c r="H35" s="7"/>
      <c r="J35" s="7"/>
      <c r="K35" s="13"/>
      <c r="L35" s="15"/>
      <c r="M35" s="18"/>
      <c r="N35" s="15"/>
      <c r="P35" s="19"/>
      <c r="Q35" s="15"/>
      <c r="R35" s="15"/>
      <c r="S35" s="19"/>
      <c r="T35" s="7"/>
      <c r="U35" s="7"/>
      <c r="V35" s="17"/>
      <c r="W35" s="16"/>
      <c r="Y35" s="14"/>
      <c r="Z35" s="15"/>
      <c r="AB35" s="16"/>
      <c r="AC35" s="7"/>
      <c r="AD35" s="7"/>
      <c r="AE35" s="7"/>
      <c r="AF35" s="7"/>
      <c r="AJ35" s="7"/>
      <c r="AV35" s="34"/>
      <c r="AW35" s="34"/>
    </row>
    <row r="36" spans="1:49" ht="12.75">
      <c r="A36"/>
      <c r="B36" s="106"/>
      <c r="C36" s="106"/>
      <c r="D36" s="48"/>
      <c r="E36" s="117"/>
      <c r="F36" s="124"/>
      <c r="G36" s="124"/>
      <c r="H36" s="7"/>
      <c r="J36" s="7"/>
      <c r="K36" s="13"/>
      <c r="L36" s="15"/>
      <c r="M36" s="18"/>
      <c r="N36" s="15"/>
      <c r="P36" s="19"/>
      <c r="Q36" s="15"/>
      <c r="R36" s="15"/>
      <c r="S36" s="19"/>
      <c r="T36" s="7"/>
      <c r="U36" s="7"/>
      <c r="V36" s="17"/>
      <c r="W36" s="16"/>
      <c r="Y36" s="14"/>
      <c r="Z36" s="15"/>
      <c r="AB36" s="16"/>
      <c r="AC36" s="7"/>
      <c r="AD36" s="7"/>
      <c r="AE36" s="7"/>
      <c r="AF36" s="7"/>
      <c r="AJ36" s="7"/>
      <c r="AV36" s="34"/>
      <c r="AW36" s="34"/>
    </row>
    <row r="37" spans="1:49" ht="12.75">
      <c r="A37"/>
      <c r="B37" s="106"/>
      <c r="C37" s="106"/>
      <c r="D37" s="48"/>
      <c r="E37" s="117"/>
      <c r="F37" s="124"/>
      <c r="G37" s="124"/>
      <c r="H37" s="7"/>
      <c r="J37" s="7"/>
      <c r="K37" s="13"/>
      <c r="L37" s="15"/>
      <c r="M37" s="18"/>
      <c r="N37" s="15"/>
      <c r="P37" s="19"/>
      <c r="Q37" s="15"/>
      <c r="R37" s="15"/>
      <c r="S37" s="19"/>
      <c r="T37" s="7"/>
      <c r="U37" s="7"/>
      <c r="V37" s="17"/>
      <c r="W37" s="16"/>
      <c r="Y37" s="14"/>
      <c r="Z37" s="15"/>
      <c r="AB37" s="16"/>
      <c r="AC37" s="7"/>
      <c r="AD37" s="7"/>
      <c r="AE37" s="7"/>
      <c r="AF37" s="7"/>
      <c r="AJ37" s="7"/>
      <c r="AV37" s="34"/>
      <c r="AW37" s="34"/>
    </row>
    <row r="38" spans="1:49" ht="12.75">
      <c r="A38"/>
      <c r="B38" s="106"/>
      <c r="C38" s="106"/>
      <c r="D38" s="48"/>
      <c r="E38" s="117"/>
      <c r="F38" s="124"/>
      <c r="G38" s="124"/>
      <c r="H38" s="7"/>
      <c r="J38" s="7"/>
      <c r="K38" s="13"/>
      <c r="L38" s="15"/>
      <c r="M38" s="18"/>
      <c r="N38" s="15"/>
      <c r="P38" s="19"/>
      <c r="Q38" s="15"/>
      <c r="R38" s="15"/>
      <c r="S38" s="19"/>
      <c r="T38" s="7"/>
      <c r="U38" s="7"/>
      <c r="V38" s="17"/>
      <c r="W38" s="16"/>
      <c r="Y38" s="14"/>
      <c r="Z38" s="15"/>
      <c r="AB38" s="16"/>
      <c r="AC38" s="7"/>
      <c r="AD38" s="7"/>
      <c r="AE38" s="7"/>
      <c r="AF38" s="7"/>
      <c r="AJ38" s="7"/>
      <c r="AV38" s="34"/>
      <c r="AW38" s="34"/>
    </row>
    <row r="39" spans="1:49" ht="12.75">
      <c r="A39"/>
      <c r="B39" s="106"/>
      <c r="C39" s="106"/>
      <c r="D39" s="48"/>
      <c r="E39" s="117"/>
      <c r="F39" s="124"/>
      <c r="G39" s="124"/>
      <c r="H39" s="7"/>
      <c r="J39" s="7"/>
      <c r="K39" s="13"/>
      <c r="L39" s="15"/>
      <c r="M39" s="18"/>
      <c r="N39" s="15"/>
      <c r="P39" s="19"/>
      <c r="Q39" s="15"/>
      <c r="R39" s="15"/>
      <c r="S39" s="19"/>
      <c r="T39" s="7"/>
      <c r="U39" s="7"/>
      <c r="V39" s="17"/>
      <c r="W39" s="16"/>
      <c r="Y39" s="14"/>
      <c r="Z39" s="15"/>
      <c r="AB39" s="16"/>
      <c r="AC39" s="7"/>
      <c r="AD39" s="7"/>
      <c r="AE39" s="7"/>
      <c r="AF39" s="7"/>
      <c r="AJ39" s="7"/>
      <c r="AV39" s="34"/>
      <c r="AW39" s="34"/>
    </row>
    <row r="40" spans="1:49" ht="12.75">
      <c r="A40"/>
      <c r="B40" s="106"/>
      <c r="C40" s="106"/>
      <c r="D40" s="48"/>
      <c r="E40" s="117"/>
      <c r="F40" s="124"/>
      <c r="G40" s="124"/>
      <c r="H40" s="7"/>
      <c r="J40" s="7"/>
      <c r="K40" s="13"/>
      <c r="L40" s="15"/>
      <c r="M40" s="18"/>
      <c r="N40" s="15"/>
      <c r="P40" s="19"/>
      <c r="Q40" s="15"/>
      <c r="R40" s="15"/>
      <c r="S40" s="19"/>
      <c r="T40" s="7"/>
      <c r="U40" s="7"/>
      <c r="V40" s="17"/>
      <c r="W40" s="16"/>
      <c r="Y40" s="14"/>
      <c r="Z40" s="15"/>
      <c r="AB40" s="16"/>
      <c r="AC40" s="7"/>
      <c r="AD40" s="7"/>
      <c r="AE40" s="7"/>
      <c r="AF40" s="7"/>
      <c r="AJ40" s="7"/>
      <c r="AV40" s="34"/>
      <c r="AW40" s="34"/>
    </row>
    <row r="41" spans="2:49" ht="12.75">
      <c r="B41" s="106"/>
      <c r="C41" s="106"/>
      <c r="D41" s="48"/>
      <c r="E41" s="117"/>
      <c r="F41" s="124"/>
      <c r="G41" s="124"/>
      <c r="H41" s="7"/>
      <c r="J41" s="7"/>
      <c r="K41" s="13"/>
      <c r="L41" s="15"/>
      <c r="M41" s="18"/>
      <c r="N41" s="15"/>
      <c r="P41" s="19"/>
      <c r="Q41" s="15"/>
      <c r="R41" s="15"/>
      <c r="S41" s="19"/>
      <c r="T41" s="7"/>
      <c r="U41" s="7"/>
      <c r="V41" s="17"/>
      <c r="W41" s="16"/>
      <c r="Y41" s="14"/>
      <c r="Z41" s="15"/>
      <c r="AB41" s="16"/>
      <c r="AC41" s="7"/>
      <c r="AD41" s="7"/>
      <c r="AE41" s="7"/>
      <c r="AF41" s="7"/>
      <c r="AJ41" s="7"/>
      <c r="AV41" s="34"/>
      <c r="AW41" s="34"/>
    </row>
    <row r="42" spans="2:49" ht="12.75">
      <c r="B42" s="106"/>
      <c r="D42" s="117"/>
      <c r="E42" s="126"/>
      <c r="F42" s="127"/>
      <c r="G42" s="127"/>
      <c r="H42" s="7"/>
      <c r="J42" s="7"/>
      <c r="K42" s="13"/>
      <c r="L42" s="15"/>
      <c r="M42" s="18"/>
      <c r="N42" s="15"/>
      <c r="P42" s="19"/>
      <c r="Q42" s="15"/>
      <c r="R42" s="15"/>
      <c r="S42" s="19"/>
      <c r="T42" s="7"/>
      <c r="U42" s="7"/>
      <c r="V42" s="17"/>
      <c r="W42" s="16"/>
      <c r="Y42" s="14"/>
      <c r="Z42" s="15"/>
      <c r="AB42" s="16"/>
      <c r="AC42" s="7"/>
      <c r="AD42" s="7"/>
      <c r="AE42" s="7"/>
      <c r="AF42" s="7"/>
      <c r="AJ42" s="7"/>
      <c r="AV42" s="34"/>
      <c r="AW42" s="34"/>
    </row>
    <row r="43" spans="4:7" ht="12.75">
      <c r="D43" s="48"/>
      <c r="E43" s="48"/>
      <c r="F43" s="48"/>
      <c r="G43" s="48"/>
    </row>
  </sheetData>
  <printOptions horizontalCentered="1"/>
  <pageMargins left="0.42" right="0.17" top="0.8" bottom="0.83" header="0.5118110236220472" footer="0.6"/>
  <pageSetup fitToHeight="1" fitToWidth="1" horizontalDpi="600" verticalDpi="600" orientation="landscape" paperSize="9" scale="29" r:id="rId3"/>
  <headerFooter alignWithMargins="0">
    <oddFooter>&amp;C&amp;F&amp;R&amp;D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Mitarbeiter</cp:lastModifiedBy>
  <cp:lastPrinted>2011-02-02T13:14:40Z</cp:lastPrinted>
  <dcterms:created xsi:type="dcterms:W3CDTF">2008-12-06T07:55:45Z</dcterms:created>
  <dcterms:modified xsi:type="dcterms:W3CDTF">2011-02-02T13:27:45Z</dcterms:modified>
  <cp:category/>
  <cp:version/>
  <cp:contentType/>
  <cp:contentStatus/>
</cp:coreProperties>
</file>